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DieseArbeitsmappe"/>
  <bookViews>
    <workbookView xWindow="2145" yWindow="180" windowWidth="7680" windowHeight="9030" activeTab="0"/>
  </bookViews>
  <sheets>
    <sheet name="Re" sheetId="1" r:id="rId1"/>
    <sheet name="Berechnung" sheetId="2" state="hidden" r:id="rId2"/>
    <sheet name="Erwärmung 40 K" sheetId="3" r:id="rId3"/>
    <sheet name="Erwärmung 35 K" sheetId="4" r:id="rId4"/>
    <sheet name="Gleichz" sheetId="5" r:id="rId5"/>
  </sheets>
  <definedNames>
    <definedName name="GLF">'Gleichz'!$B$1:$B$15</definedName>
    <definedName name="_xlnm.Print_Area" localSheetId="1">'Berechnung'!$A$1:$P$50</definedName>
    <definedName name="_xlnm.Print_Area" localSheetId="0">'Re'!$A$1:$P$76</definedName>
    <definedName name="WE" localSheetId="0">'Re'!#REF!</definedName>
    <definedName name="WE">'Berechnung'!#REF!</definedName>
    <definedName name="Wohnungsanzahl">'Gleichz'!$A$1:$A$16</definedName>
    <definedName name="Z_4DDE43E3_26DC_48BE_B660_41301A4F4F83_.wvu.Cols" localSheetId="3" hidden="1">'Erwärmung 35 K'!$G:$I</definedName>
    <definedName name="Z_4DDE43E3_26DC_48BE_B660_41301A4F4F83_.wvu.Cols" localSheetId="2" hidden="1">'Erwärmung 40 K'!$G:$K</definedName>
    <definedName name="Z_4DDE43E3_26DC_48BE_B660_41301A4F4F83_.wvu.Cols" localSheetId="0" hidden="1">'Re'!$G:$J</definedName>
    <definedName name="Z_4DDE43E3_26DC_48BE_B660_41301A4F4F83_.wvu.PrintArea" localSheetId="1" hidden="1">'Berechnung'!$A$1:$P$50</definedName>
    <definedName name="Z_4DDE43E3_26DC_48BE_B660_41301A4F4F83_.wvu.PrintArea" localSheetId="0" hidden="1">'Re'!$A$1:$P$76</definedName>
  </definedNames>
  <calcPr fullCalcOnLoad="1"/>
</workbook>
</file>

<file path=xl/comments1.xml><?xml version="1.0" encoding="utf-8"?>
<comments xmlns="http://schemas.openxmlformats.org/spreadsheetml/2006/main">
  <authors>
    <author>Thiel</author>
    <author>thiel</author>
    <author>František  Baláži</author>
  </authors>
  <commentList>
    <comment ref="E3" authorId="0">
      <text>
        <r>
          <rPr>
            <b/>
            <sz val="8"/>
            <rFont val="Tahoma"/>
            <family val="0"/>
          </rPr>
          <t>Teplotný rozdiel - od zásobníka po bytovú stanicu</t>
        </r>
        <r>
          <rPr>
            <sz val="8"/>
            <rFont val="Tahoma"/>
            <family val="0"/>
          </rPr>
          <t xml:space="preserve">
</t>
        </r>
      </text>
    </comment>
    <comment ref="C5" authorId="0">
      <text>
        <r>
          <rPr>
            <b/>
            <sz val="8"/>
            <rFont val="Tahoma"/>
            <family val="0"/>
          </rPr>
          <t>Ohriatie studenej vody z 10 na 45 (potom 35)
                                             alebo z 10 na 50 (potom 40)</t>
        </r>
      </text>
    </comment>
    <comment ref="C6" authorId="0">
      <text>
        <r>
          <rPr>
            <b/>
            <sz val="8"/>
            <rFont val="Tahoma"/>
            <family val="0"/>
          </rPr>
          <t>Požadovaná spotreba vody za bytovú jednotu</t>
        </r>
      </text>
    </comment>
    <comment ref="A8" authorId="0">
      <text>
        <r>
          <rPr>
            <sz val="8"/>
            <rFont val="Tahoma"/>
            <family val="0"/>
          </rPr>
          <t xml:space="preserve">Výmenník
Typ 1= malý výmenník
Typ 2= stredný výmenník
Typ 3= veľký výmenník
</t>
        </r>
      </text>
    </comment>
    <comment ref="C8" authorId="0">
      <text>
        <r>
          <rPr>
            <b/>
            <sz val="8"/>
            <rFont val="Tahoma"/>
            <family val="0"/>
          </rPr>
          <t>Zadajte typ výmenníka:
Typ 1 - WP 24-14 (malý výmenník)
Typ 2 - WP 24-20 (stredný výmenník)
Typ 3 - WP 24-30 (veľký výmenník)</t>
        </r>
      </text>
    </comment>
    <comment ref="C10" authorId="1">
      <text>
        <r>
          <rPr>
            <b/>
            <sz val="8"/>
            <rFont val="Tahoma"/>
            <family val="0"/>
          </rPr>
          <t>Vstupná teplota vody na prístroji na strane vykurovacieho okruhu</t>
        </r>
        <r>
          <rPr>
            <sz val="8"/>
            <rFont val="Tahoma"/>
            <family val="0"/>
          </rPr>
          <t xml:space="preserve">
</t>
        </r>
      </text>
    </comment>
    <comment ref="E14" authorId="0">
      <text>
        <r>
          <rPr>
            <sz val="8"/>
            <rFont val="Tahoma"/>
            <family val="0"/>
          </rPr>
          <t>Zadajte požadovanú konečnú teplotu vody</t>
        </r>
      </text>
    </comment>
    <comment ref="K14" authorId="0">
      <text>
        <r>
          <rPr>
            <b/>
            <sz val="8"/>
            <rFont val="Tahoma"/>
            <family val="0"/>
          </rPr>
          <t>Výsledné množstvo teplej vody s požadovanou teplotou</t>
        </r>
      </text>
    </comment>
    <comment ref="E15" authorId="0">
      <text>
        <r>
          <rPr>
            <sz val="8"/>
            <rFont val="Tahoma"/>
            <family val="0"/>
          </rPr>
          <t>Zadajte teplotu studenej vody</t>
        </r>
      </text>
    </comment>
    <comment ref="E4" authorId="2">
      <text>
        <r>
          <rPr>
            <b/>
            <sz val="8"/>
            <rFont val="Tahoma"/>
            <family val="0"/>
          </rPr>
          <t>Teplotný rozdiel primárnej strany - od kotla po zásobník</t>
        </r>
      </text>
    </comment>
    <comment ref="A3" authorId="2">
      <text>
        <r>
          <rPr>
            <b/>
            <sz val="8"/>
            <rFont val="Tahoma"/>
            <family val="0"/>
          </rPr>
          <t>kW (požadovaný výkon na bytovú jednotku)</t>
        </r>
      </text>
    </comment>
  </commentList>
</comments>
</file>

<file path=xl/comments2.xml><?xml version="1.0" encoding="utf-8"?>
<comments xmlns="http://schemas.openxmlformats.org/spreadsheetml/2006/main">
  <authors>
    <author>Thiel</author>
    <author>thiel</author>
  </authors>
  <commentList>
    <comment ref="A9" authorId="0">
      <text>
        <r>
          <rPr>
            <sz val="8"/>
            <rFont val="Tahoma"/>
            <family val="0"/>
          </rPr>
          <t xml:space="preserve">Tauscher Typ 1=kleiner Tauscher
Typ 2= mittlerer Tauscher
Typ 3= großer Tauscher
</t>
        </r>
      </text>
    </comment>
    <comment ref="E15" authorId="0">
      <text>
        <r>
          <rPr>
            <sz val="8"/>
            <rFont val="Tahoma"/>
            <family val="0"/>
          </rPr>
          <t>Eingabefeld!
Gewünschte Endtemperatur eingeben!</t>
        </r>
      </text>
    </comment>
    <comment ref="E16" authorId="0">
      <text>
        <r>
          <rPr>
            <sz val="8"/>
            <rFont val="Tahoma"/>
            <family val="0"/>
          </rPr>
          <t>Eingabefeld:
Kaltwassertemperatur eingeben!</t>
        </r>
      </text>
    </comment>
    <comment ref="G15" authorId="0">
      <text>
        <r>
          <rPr>
            <b/>
            <sz val="8"/>
            <rFont val="Tahoma"/>
            <family val="0"/>
          </rPr>
          <t>Resultierende Menge Warmwasser mit Wunschtemperatur</t>
        </r>
      </text>
    </comment>
    <comment ref="C6" authorId="0">
      <text>
        <r>
          <rPr>
            <b/>
            <sz val="8"/>
            <rFont val="Tahoma"/>
            <family val="0"/>
          </rPr>
          <t>Erwärmung des Kaltwassers</t>
        </r>
        <r>
          <rPr>
            <sz val="8"/>
            <rFont val="Tahoma"/>
            <family val="0"/>
          </rPr>
          <t xml:space="preserve"> </t>
        </r>
        <r>
          <rPr>
            <b/>
            <sz val="8"/>
            <rFont val="Tahoma"/>
            <family val="0"/>
          </rPr>
          <t>von 10 auf 45 (dann 35)</t>
        </r>
        <r>
          <rPr>
            <b/>
            <sz val="8"/>
            <rFont val="Tahoma"/>
            <family val="0"/>
          </rPr>
          <t xml:space="preserve">
                                            </t>
        </r>
        <r>
          <rPr>
            <b/>
            <sz val="8"/>
            <rFont val="Tahoma"/>
            <family val="0"/>
          </rPr>
          <t xml:space="preserve"> oder </t>
        </r>
        <r>
          <rPr>
            <b/>
            <sz val="8"/>
            <rFont val="Tahoma"/>
            <family val="0"/>
          </rPr>
          <t>10 auf 50 (dann 40)</t>
        </r>
      </text>
    </comment>
    <comment ref="C7" authorId="0">
      <text>
        <r>
          <rPr>
            <b/>
            <sz val="8"/>
            <rFont val="Tahoma"/>
            <family val="0"/>
          </rPr>
          <t xml:space="preserve">Warmwasserzapfmenge </t>
        </r>
      </text>
    </comment>
    <comment ref="C9" authorId="0">
      <text>
        <r>
          <rPr>
            <b/>
            <sz val="8"/>
            <rFont val="Tahoma"/>
            <family val="0"/>
          </rPr>
          <t>Tauschertyp:
Typ 1 - WP 24-14 (kleiner Tauscher)
Typ 2 - WP 24-20 (mittlerer Tauscher)
Typ 3 - WP 24-30 (großer Tauscher)</t>
        </r>
      </text>
    </comment>
    <comment ref="E3" authorId="0">
      <text>
        <r>
          <rPr>
            <b/>
            <sz val="8"/>
            <rFont val="Tahoma"/>
            <family val="0"/>
          </rPr>
          <t xml:space="preserve">Eingabefeld!
Spreizung der Heizkörper </t>
        </r>
        <r>
          <rPr>
            <sz val="8"/>
            <rFont val="Tahoma"/>
            <family val="0"/>
          </rPr>
          <t xml:space="preserve">
</t>
        </r>
      </text>
    </comment>
    <comment ref="C11" authorId="1">
      <text>
        <r>
          <rPr>
            <b/>
            <sz val="8"/>
            <rFont val="Tahoma"/>
            <family val="0"/>
          </rPr>
          <t>Vorlauftemperatur am Gerät auf der Heizungsseite</t>
        </r>
        <r>
          <rPr>
            <sz val="8"/>
            <rFont val="Tahoma"/>
            <family val="0"/>
          </rPr>
          <t xml:space="preserve">
</t>
        </r>
      </text>
    </comment>
    <comment ref="C5" authorId="0">
      <text>
        <r>
          <rPr>
            <b/>
            <sz val="8"/>
            <rFont val="Tahoma"/>
            <family val="0"/>
          </rPr>
          <t>Wenn Heizung und Warmwasserbeitung addiert werden sollen, bitte 1 wählen!</t>
        </r>
      </text>
    </comment>
  </commentList>
</comments>
</file>

<file path=xl/sharedStrings.xml><?xml version="1.0" encoding="utf-8"?>
<sst xmlns="http://schemas.openxmlformats.org/spreadsheetml/2006/main" count="291" uniqueCount="184">
  <si>
    <t>Werkstoff</t>
  </si>
  <si>
    <t>stahl</t>
  </si>
  <si>
    <t>Teil- strecken- länge</t>
  </si>
  <si>
    <t>DN</t>
  </si>
  <si>
    <t>R</t>
  </si>
  <si>
    <t>R*l</t>
  </si>
  <si>
    <t>v</t>
  </si>
  <si>
    <t>Sz</t>
  </si>
  <si>
    <t>Z</t>
  </si>
  <si>
    <t>Gesamt- Druckverlust</t>
  </si>
  <si>
    <t>di</t>
  </si>
  <si>
    <t>Reynolds</t>
  </si>
  <si>
    <t>lambda</t>
  </si>
  <si>
    <t>[m]</t>
  </si>
  <si>
    <t>[Pa/m]</t>
  </si>
  <si>
    <t>[Pa]</t>
  </si>
  <si>
    <t>[m/s]</t>
  </si>
  <si>
    <t>-</t>
  </si>
  <si>
    <t>kupfer</t>
  </si>
  <si>
    <t xml:space="preserve"> </t>
  </si>
  <si>
    <t>Anzahl WE</t>
  </si>
  <si>
    <t>Leistung Heizung
je WE in kW</t>
  </si>
  <si>
    <t>TS A 1</t>
  </si>
  <si>
    <t>TS A 2</t>
  </si>
  <si>
    <t>Heizleistung je WE:</t>
  </si>
  <si>
    <t>laut Tabelle</t>
  </si>
  <si>
    <t>Spreizung d. Heizung</t>
  </si>
  <si>
    <t>K</t>
  </si>
  <si>
    <t>Warmwasserbereitung:</t>
  </si>
  <si>
    <t>l/h</t>
  </si>
  <si>
    <t>Druckverlust Station ohne WMZ:</t>
  </si>
  <si>
    <t>bar</t>
  </si>
  <si>
    <t>Gleichzeitigkeit: nach AGFW FW 520 für Wohnungsbau</t>
  </si>
  <si>
    <t>Geamt-volumenstrom</t>
  </si>
  <si>
    <t>l/h]</t>
  </si>
  <si>
    <t>WE</t>
  </si>
  <si>
    <t xml:space="preserve">Gleichzeitigkeit
zapfender Wohnungen
</t>
  </si>
  <si>
    <t>Volumenstrom WWB</t>
  </si>
  <si>
    <t>Volumenstrom HZ</t>
  </si>
  <si>
    <t xml:space="preserve">Anzahl mitlaufender
Wohnungsheizungen
</t>
  </si>
  <si>
    <t xml:space="preserve">Teilstrecke
 </t>
  </si>
  <si>
    <t>Vorlauftemperatur an Gerät:</t>
  </si>
  <si>
    <t>°C</t>
  </si>
  <si>
    <t>TS Z 1</t>
  </si>
  <si>
    <t xml:space="preserve"> Hauptleitungen</t>
  </si>
  <si>
    <t>Dimensionierung: Nahwärmenetz</t>
  </si>
  <si>
    <t>l/min</t>
  </si>
  <si>
    <t>Tauschertyp:</t>
  </si>
  <si>
    <t>Rücklauftemperatur bei WWB:</t>
  </si>
  <si>
    <t>TS A 3</t>
  </si>
  <si>
    <t>TS A 4</t>
  </si>
  <si>
    <t>TS Z 2</t>
  </si>
  <si>
    <t>Stahl-rohr
DN</t>
  </si>
  <si>
    <t>Stahl-rohr</t>
  </si>
  <si>
    <t>Volumenstrom Warmwaserbeitung:</t>
  </si>
  <si>
    <t>y = 28,361x1,5655</t>
  </si>
  <si>
    <t>y = 33,285x1,3184</t>
  </si>
  <si>
    <t>y = 34,211x1,2031</t>
  </si>
  <si>
    <t>y = 30,697x1,1174</t>
  </si>
  <si>
    <t>y = 28,321x1,098</t>
  </si>
  <si>
    <t>y = 31,538x1,161</t>
  </si>
  <si>
    <t>y = 4E-07x2</t>
  </si>
  <si>
    <t>y = 27,078e0,0136x</t>
  </si>
  <si>
    <t>y = 22,095e0,0152x</t>
  </si>
  <si>
    <t>y = 18,967e0,0161x</t>
  </si>
  <si>
    <t>y = 16,512e0,0175x</t>
  </si>
  <si>
    <t>y = 15,552e0,0167x</t>
  </si>
  <si>
    <t>y = 13,579e0,0183x</t>
  </si>
  <si>
    <t>y = 3E-07x2</t>
  </si>
  <si>
    <t>y = 34,851x1,3962</t>
  </si>
  <si>
    <t>y = 36,172x1,2308</t>
  </si>
  <si>
    <t>y = 34,242x1,1657</t>
  </si>
  <si>
    <t>y = 32,332x1,1248</t>
  </si>
  <si>
    <t>y = 30,721x1,0936</t>
  </si>
  <si>
    <t>y = 29,932x1,0622</t>
  </si>
  <si>
    <t>y = 24,223e0,0115x</t>
  </si>
  <si>
    <t>y = 19,938e0,012x</t>
  </si>
  <si>
    <t>y = 16,809e0,0132x</t>
  </si>
  <si>
    <t>y = 15,013e0,0134x</t>
  </si>
  <si>
    <t>y = 13,636e0,0135x</t>
  </si>
  <si>
    <t>y = 12,645e0,0133x</t>
  </si>
  <si>
    <t>y = 45,826x1,2299</t>
  </si>
  <si>
    <t>y = 39,61x1,159</t>
  </si>
  <si>
    <t>y = 36,456x1,114</t>
  </si>
  <si>
    <t>y = 34,299x1,0874</t>
  </si>
  <si>
    <t>y = 31,309x1,0688</t>
  </si>
  <si>
    <t>y = 29,815x1,0502</t>
  </si>
  <si>
    <t>y = 21,561e0,0109x</t>
  </si>
  <si>
    <t>y = 16,768e0,0127x</t>
  </si>
  <si>
    <t>y = 14,261e0,0133x</t>
  </si>
  <si>
    <t>y = 13,294e0,011x</t>
  </si>
  <si>
    <t>y = 12,168e0,0107x</t>
  </si>
  <si>
    <t>y = 11,537e0,0101x</t>
  </si>
  <si>
    <t>y = 2E-07x2</t>
  </si>
  <si>
    <t>Auswahl Erwärmung:</t>
  </si>
  <si>
    <t xml:space="preserve">l/min </t>
  </si>
  <si>
    <t>Resultierende Warmwassermenge je WE mit Temperatur:</t>
  </si>
  <si>
    <t>Beimischung mit Kaltwasser:</t>
  </si>
  <si>
    <t>Bereich 50°C TWW</t>
  </si>
  <si>
    <t>Bereich 45°C TWW</t>
  </si>
  <si>
    <t>y = 23,61e0,0109x</t>
  </si>
  <si>
    <t>y = 18,45e0,0125x</t>
  </si>
  <si>
    <t>y = 15,681e0,0132x</t>
  </si>
  <si>
    <t>y = 13,963e0,0132x</t>
  </si>
  <si>
    <t>y = 12,708e0,0129x</t>
  </si>
  <si>
    <t>y = 43,072x1,2714</t>
  </si>
  <si>
    <t>y = 40,881x1,1669</t>
  </si>
  <si>
    <t>y = 37,458x1,1248</t>
  </si>
  <si>
    <t>y = 36,014x1,0857</t>
  </si>
  <si>
    <t>y = 33,229x1,0717</t>
  </si>
  <si>
    <t>y = 37,459x1,3835</t>
  </si>
  <si>
    <t>y = 38,3x1,2322</t>
  </si>
  <si>
    <t>y = 36,166x1,1679</t>
  </si>
  <si>
    <t>y = 33,309x1,1214</t>
  </si>
  <si>
    <t>y = 26,562e0,012x</t>
  </si>
  <si>
    <t>y = 21,509e0,0129x</t>
  </si>
  <si>
    <t>y = 18,267e0,0138x</t>
  </si>
  <si>
    <t>y = 16,339e0,014x</t>
  </si>
  <si>
    <t>y = 14,723e0,0145x</t>
  </si>
  <si>
    <t>y = 30,062x1,5763</t>
  </si>
  <si>
    <t>y = 29,42x1,389</t>
  </si>
  <si>
    <t>y = 31,959x1,1832</t>
  </si>
  <si>
    <t>y = 29,889x1,1547</t>
  </si>
  <si>
    <t>y = 34,67x1,2241</t>
  </si>
  <si>
    <t>y = 30,673e0,0132x</t>
  </si>
  <si>
    <t>y = 23,724e0,017x</t>
  </si>
  <si>
    <t>y = 20,783e0,0169x</t>
  </si>
  <si>
    <t>y = 17,928e0,0187x</t>
  </si>
  <si>
    <t>y = 16,186e0,0189x</t>
  </si>
  <si>
    <t>richtet sich nach gewählter Erwärmung!</t>
  </si>
  <si>
    <t>TS Z 3</t>
  </si>
  <si>
    <t>TS Z 4</t>
  </si>
  <si>
    <t>Gesamtdruckverlust:</t>
  </si>
  <si>
    <t>Pa</t>
  </si>
  <si>
    <t>y = 34,782x1,0805</t>
  </si>
  <si>
    <t>Parallelschaltung HZ + WW</t>
  </si>
  <si>
    <t>Warnung bei &gt; P/m</t>
  </si>
  <si>
    <t>Aufschlag</t>
  </si>
  <si>
    <t>Kvs</t>
  </si>
  <si>
    <t>Gerät (ohne Zähler)</t>
  </si>
  <si>
    <t>Rohrleitung:</t>
  </si>
  <si>
    <t>Rohrleitung mit Aufschlag (Bögen usw)</t>
  </si>
  <si>
    <t>Differenzdruckregler im Gerät:</t>
  </si>
  <si>
    <t>Gesamtdruckverlust ohne WMZ:</t>
  </si>
  <si>
    <t>kleiner Tauscher</t>
  </si>
  <si>
    <t>Strang 4 WE übereinander</t>
  </si>
  <si>
    <t>Strang 3 WE übereinander</t>
  </si>
  <si>
    <t>TS B 1</t>
  </si>
  <si>
    <t>TS B 2</t>
  </si>
  <si>
    <t>TS B 3</t>
  </si>
  <si>
    <t>kW</t>
  </si>
  <si>
    <t>m³/h</t>
  </si>
  <si>
    <t>Navrhovanie</t>
  </si>
  <si>
    <t>Vstupná teplota vody na jednotku:</t>
  </si>
  <si>
    <t>Priet.množstvo vody potrebnej na prípravu TÚV:</t>
  </si>
  <si>
    <t>Typ výmenníka:</t>
  </si>
  <si>
    <t>Tepelný výkon na byt.jednotku:</t>
  </si>
  <si>
    <t>Výber ohrevu:</t>
  </si>
  <si>
    <t>Príprava TÚV:</t>
  </si>
  <si>
    <t>Tlak. strata jedn. bez merača tepla:</t>
  </si>
  <si>
    <t>Výkon:</t>
  </si>
  <si>
    <t>Výsledná hodnota množstva a teploty vody na každej jednotke:</t>
  </si>
  <si>
    <t>Primiešavanie studenej vody:</t>
  </si>
  <si>
    <t>Platnosť normy (podľa AGFW FW 520 pre bytovú výstavbu)</t>
  </si>
  <si>
    <t>Teplotný rozdiel UK:</t>
  </si>
  <si>
    <t>Teplotný rozdiel prim.okruhu:</t>
  </si>
  <si>
    <t>Rozsah 50°C TWW</t>
  </si>
  <si>
    <t>Rozsah 45°C TWW</t>
  </si>
  <si>
    <t>hodnota sa prispôsobí podľa zvoleného ohrevu</t>
  </si>
  <si>
    <t>Počet bytových staníc</t>
  </si>
  <si>
    <t>Počet odberných miest</t>
  </si>
  <si>
    <t>Výkon kotla</t>
  </si>
  <si>
    <t>Prietokové množstvo</t>
  </si>
  <si>
    <t>Typ obehového čerpadla WILO</t>
  </si>
  <si>
    <t>Rozvody na strane nabíjania zásobníka</t>
  </si>
  <si>
    <t>Oceľové potrubie DN</t>
  </si>
  <si>
    <t>Objem zásobníka</t>
  </si>
  <si>
    <t>Prietokové množstvo vo vykur.okruhu</t>
  </si>
  <si>
    <t>Rozvody na strane sekun.okruhu</t>
  </si>
  <si>
    <t>Obehové čerpadlo Typ WILO</t>
  </si>
  <si>
    <t>* Zariadenia s tepelnou potrebou pod 20 kW budú automaticky prepočítané na 20 kW kotle.</t>
  </si>
  <si>
    <t>** Návrh sa vzťahuje na olejové alebo plynové kotle, pri použití iných typov kotlov je nutné použiť podklady od výrobcu.</t>
  </si>
  <si>
    <t>*** Návrh typu obehového čerpadla je len doporučený, pri kompletnom návrhu zohľadniť hydrauliku všetkých komponentov sústavy.</t>
  </si>
  <si>
    <t>Vratná teplota vody z TÚV:</t>
  </si>
</sst>
</file>

<file path=xl/styles.xml><?xml version="1.0" encoding="utf-8"?>
<styleSheet xmlns="http://schemas.openxmlformats.org/spreadsheetml/2006/main">
  <numFmts count="3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"/>
    <numFmt numFmtId="187" formatCode="dd/\ mm/yy"/>
    <numFmt numFmtId="188" formatCode="0.000000000"/>
    <numFmt numFmtId="189" formatCode="d/m/yy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Symbol"/>
      <family val="1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17" borderId="5" applyNumberFormat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178" fontId="0" fillId="0" borderId="0" applyFont="0" applyFill="0" applyBorder="0" applyAlignment="0" applyProtection="0"/>
    <xf numFmtId="0" fontId="25" fillId="7" borderId="0" applyNumberFormat="0" applyBorder="0" applyAlignment="0" applyProtection="0"/>
    <xf numFmtId="0" fontId="0" fillId="4" borderId="7" applyNumberFormat="0" applyFont="0" applyAlignment="0" applyProtection="0"/>
    <xf numFmtId="0" fontId="26" fillId="16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16" borderId="0" xfId="0" applyFill="1" applyAlignment="1" applyProtection="1">
      <alignment/>
      <protection/>
    </xf>
    <xf numFmtId="0" fontId="0" fillId="16" borderId="0" xfId="0" applyFill="1" applyAlignment="1">
      <alignment/>
    </xf>
    <xf numFmtId="180" fontId="0" fillId="16" borderId="0" xfId="0" applyNumberFormat="1" applyFill="1" applyAlignment="1" applyProtection="1">
      <alignment/>
      <protection/>
    </xf>
    <xf numFmtId="0" fontId="0" fillId="16" borderId="0" xfId="0" applyFill="1" applyBorder="1" applyAlignment="1">
      <alignment/>
    </xf>
    <xf numFmtId="0" fontId="0" fillId="16" borderId="10" xfId="0" applyFill="1" applyBorder="1" applyAlignment="1">
      <alignment/>
    </xf>
    <xf numFmtId="0" fontId="5" fillId="16" borderId="11" xfId="0" applyFont="1" applyFill="1" applyBorder="1" applyAlignment="1" applyProtection="1">
      <alignment horizontal="center"/>
      <protection/>
    </xf>
    <xf numFmtId="0" fontId="0" fillId="16" borderId="12" xfId="0" applyFill="1" applyBorder="1" applyAlignment="1" applyProtection="1">
      <alignment/>
      <protection locked="0"/>
    </xf>
    <xf numFmtId="0" fontId="0" fillId="16" borderId="0" xfId="0" applyFill="1" applyAlignment="1" applyProtection="1">
      <alignment/>
      <protection locked="0"/>
    </xf>
    <xf numFmtId="189" fontId="0" fillId="16" borderId="0" xfId="0" applyNumberFormat="1" applyFill="1" applyAlignment="1">
      <alignment/>
    </xf>
    <xf numFmtId="0" fontId="0" fillId="16" borderId="0" xfId="0" applyFill="1" applyBorder="1" applyAlignment="1" applyProtection="1">
      <alignment/>
      <protection/>
    </xf>
    <xf numFmtId="180" fontId="0" fillId="16" borderId="10" xfId="0" applyNumberFormat="1" applyFill="1" applyBorder="1" applyAlignment="1">
      <alignment/>
    </xf>
    <xf numFmtId="180" fontId="0" fillId="16" borderId="0" xfId="0" applyNumberFormat="1" applyFill="1" applyBorder="1" applyAlignment="1">
      <alignment/>
    </xf>
    <xf numFmtId="180" fontId="0" fillId="0" borderId="0" xfId="0" applyNumberFormat="1" applyAlignment="1">
      <alignment/>
    </xf>
    <xf numFmtId="0" fontId="0" fillId="16" borderId="12" xfId="0" applyFill="1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2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left"/>
      <protection locked="0"/>
    </xf>
    <xf numFmtId="1" fontId="1" fillId="8" borderId="0" xfId="0" applyNumberFormat="1" applyFont="1" applyFill="1" applyAlignment="1" applyProtection="1">
      <alignment/>
      <protection/>
    </xf>
    <xf numFmtId="0" fontId="0" fillId="8" borderId="0" xfId="0" applyFill="1" applyAlignment="1" applyProtection="1">
      <alignment/>
      <protection/>
    </xf>
    <xf numFmtId="1" fontId="1" fillId="18" borderId="0" xfId="0" applyNumberFormat="1" applyFont="1" applyFill="1" applyBorder="1" applyAlignment="1" applyProtection="1">
      <alignment/>
      <protection/>
    </xf>
    <xf numFmtId="0" fontId="0" fillId="18" borderId="0" xfId="0" applyFill="1" applyAlignment="1" applyProtection="1">
      <alignment/>
      <protection/>
    </xf>
    <xf numFmtId="0" fontId="10" fillId="8" borderId="0" xfId="0" applyFont="1" applyFill="1" applyBorder="1" applyAlignment="1" applyProtection="1">
      <alignment/>
      <protection/>
    </xf>
    <xf numFmtId="0" fontId="10" fillId="18" borderId="0" xfId="0" applyFont="1" applyFill="1" applyBorder="1" applyAlignment="1" applyProtection="1">
      <alignment/>
      <protection/>
    </xf>
    <xf numFmtId="1" fontId="1" fillId="18" borderId="0" xfId="0" applyNumberFormat="1" applyFont="1" applyFill="1" applyAlignment="1" applyProtection="1">
      <alignment/>
      <protection/>
    </xf>
    <xf numFmtId="2" fontId="1" fillId="8" borderId="0" xfId="0" applyNumberFormat="1" applyFont="1" applyFill="1" applyAlignment="1" applyProtection="1">
      <alignment/>
      <protection/>
    </xf>
    <xf numFmtId="2" fontId="1" fillId="18" borderId="0" xfId="0" applyNumberFormat="1" applyFont="1" applyFill="1" applyAlignment="1" applyProtection="1">
      <alignment/>
      <protection/>
    </xf>
    <xf numFmtId="0" fontId="10" fillId="0" borderId="0" xfId="0" applyFont="1" applyAlignment="1" applyProtection="1">
      <alignment/>
      <protection hidden="1" locked="0"/>
    </xf>
    <xf numFmtId="0" fontId="10" fillId="0" borderId="0" xfId="0" applyFont="1" applyFill="1" applyAlignment="1" applyProtection="1">
      <alignment/>
      <protection hidden="1" locked="0"/>
    </xf>
    <xf numFmtId="0" fontId="10" fillId="0" borderId="0" xfId="0" applyFont="1" applyAlignment="1" applyProtection="1">
      <alignment horizontal="right"/>
      <protection hidden="1" locked="0"/>
    </xf>
    <xf numFmtId="1" fontId="0" fillId="0" borderId="0" xfId="0" applyNumberFormat="1" applyFill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0" fillId="16" borderId="0" xfId="0" applyFill="1" applyBorder="1" applyAlignment="1" applyProtection="1">
      <alignment horizontal="center"/>
      <protection hidden="1" locked="0"/>
    </xf>
    <xf numFmtId="0" fontId="0" fillId="16" borderId="0" xfId="0" applyFill="1" applyAlignment="1" applyProtection="1">
      <alignment horizontal="center"/>
      <protection hidden="1" locked="0"/>
    </xf>
    <xf numFmtId="0" fontId="0" fillId="0" borderId="10" xfId="0" applyBorder="1" applyAlignment="1" applyProtection="1">
      <alignment horizontal="center"/>
      <protection hidden="1" locked="0"/>
    </xf>
    <xf numFmtId="0" fontId="0" fillId="0" borderId="19" xfId="0" applyBorder="1" applyAlignment="1" applyProtection="1">
      <alignment vertical="top"/>
      <protection hidden="1" locked="0"/>
    </xf>
    <xf numFmtId="0" fontId="0" fillId="0" borderId="20" xfId="0" applyBorder="1" applyAlignment="1" applyProtection="1">
      <alignment horizontal="center" vertical="top" wrapText="1"/>
      <protection hidden="1" locked="0"/>
    </xf>
    <xf numFmtId="0" fontId="0" fillId="0" borderId="20" xfId="0" applyBorder="1" applyAlignment="1" applyProtection="1">
      <alignment vertical="top" wrapText="1"/>
      <protection hidden="1" locked="0"/>
    </xf>
    <xf numFmtId="0" fontId="0" fillId="0" borderId="11" xfId="0" applyBorder="1" applyAlignment="1" applyProtection="1">
      <alignment vertical="top" wrapText="1"/>
      <protection hidden="1" locked="0"/>
    </xf>
    <xf numFmtId="0" fontId="0" fillId="0" borderId="0" xfId="0" applyBorder="1" applyAlignment="1" applyProtection="1">
      <alignment horizontal="center" vertical="top" wrapText="1"/>
      <protection hidden="1" locked="0"/>
    </xf>
    <xf numFmtId="0" fontId="0" fillId="0" borderId="21" xfId="0" applyBorder="1" applyAlignment="1" applyProtection="1">
      <alignment horizontal="center" vertical="top" wrapText="1"/>
      <protection hidden="1" locked="0"/>
    </xf>
    <xf numFmtId="0" fontId="1" fillId="19" borderId="21" xfId="0" applyFont="1" applyFill="1" applyBorder="1" applyAlignment="1" applyProtection="1">
      <alignment horizontal="center" vertical="top" wrapText="1"/>
      <protection hidden="1" locked="0"/>
    </xf>
    <xf numFmtId="180" fontId="0" fillId="0" borderId="21" xfId="0" applyNumberFormat="1" applyBorder="1" applyAlignment="1" applyProtection="1">
      <alignment horizontal="center" vertical="top" wrapText="1"/>
      <protection hidden="1" locked="0"/>
    </xf>
    <xf numFmtId="0" fontId="4" fillId="0" borderId="21" xfId="0" applyFont="1" applyBorder="1" applyAlignment="1" applyProtection="1">
      <alignment horizontal="center" vertical="top" wrapText="1"/>
      <protection hidden="1" locked="0"/>
    </xf>
    <xf numFmtId="0" fontId="1" fillId="19" borderId="22" xfId="0" applyFont="1" applyFill="1" applyBorder="1" applyAlignment="1" applyProtection="1">
      <alignment horizontal="center" vertical="top" wrapText="1"/>
      <protection hidden="1" locked="0"/>
    </xf>
    <xf numFmtId="0" fontId="0" fillId="16" borderId="0" xfId="0" applyFill="1" applyAlignment="1" applyProtection="1">
      <alignment horizontal="center" vertical="top" wrapText="1"/>
      <protection hidden="1" locked="0"/>
    </xf>
    <xf numFmtId="0" fontId="0" fillId="0" borderId="0" xfId="0" applyAlignment="1" applyProtection="1">
      <alignment horizontal="center" vertical="top" wrapText="1"/>
      <protection hidden="1" locked="0"/>
    </xf>
    <xf numFmtId="0" fontId="0" fillId="0" borderId="23" xfId="0" applyBorder="1" applyAlignment="1" applyProtection="1">
      <alignment horizontal="center" vertical="center" wrapText="1"/>
      <protection hidden="1" locked="0"/>
    </xf>
    <xf numFmtId="0" fontId="0" fillId="0" borderId="10" xfId="0" applyBorder="1" applyAlignment="1" applyProtection="1">
      <alignment horizontal="center" wrapText="1"/>
      <protection hidden="1" locked="0"/>
    </xf>
    <xf numFmtId="0" fontId="0" fillId="0" borderId="0" xfId="0" applyBorder="1" applyAlignment="1" applyProtection="1">
      <alignment horizontal="center" vertical="center" wrapText="1"/>
      <protection hidden="1" locked="0"/>
    </xf>
    <xf numFmtId="0" fontId="0" fillId="0" borderId="10" xfId="0" applyBorder="1" applyAlignment="1" applyProtection="1">
      <alignment horizontal="center" vertical="center" wrapText="1"/>
      <protection hidden="1" locked="0"/>
    </xf>
    <xf numFmtId="0" fontId="0" fillId="0" borderId="12" xfId="0" applyBorder="1" applyAlignment="1" applyProtection="1">
      <alignment horizontal="center" vertical="center" wrapText="1"/>
      <protection hidden="1" locked="0"/>
    </xf>
    <xf numFmtId="0" fontId="0" fillId="0" borderId="23" xfId="0" applyBorder="1" applyAlignment="1" applyProtection="1">
      <alignment horizontal="center"/>
      <protection hidden="1" locked="0"/>
    </xf>
    <xf numFmtId="0" fontId="1" fillId="19" borderId="23" xfId="0" applyFont="1" applyFill="1" applyBorder="1" applyAlignment="1" applyProtection="1">
      <alignment horizontal="center"/>
      <protection hidden="1" locked="0"/>
    </xf>
    <xf numFmtId="180" fontId="0" fillId="0" borderId="23" xfId="0" applyNumberFormat="1" applyBorder="1" applyAlignment="1" applyProtection="1">
      <alignment horizontal="center"/>
      <protection hidden="1" locked="0"/>
    </xf>
    <xf numFmtId="0" fontId="1" fillId="19" borderId="12" xfId="0" applyFont="1" applyFill="1" applyBorder="1" applyAlignment="1" applyProtection="1">
      <alignment horizontal="center"/>
      <protection hidden="1" locked="0"/>
    </xf>
    <xf numFmtId="0" fontId="0" fillId="16" borderId="0" xfId="0" applyFill="1" applyAlignment="1" applyProtection="1">
      <alignment/>
      <protection hidden="1" locked="0"/>
    </xf>
    <xf numFmtId="2" fontId="0" fillId="20" borderId="0" xfId="0" applyNumberFormat="1" applyFill="1" applyBorder="1" applyAlignment="1" applyProtection="1">
      <alignment horizontal="center"/>
      <protection hidden="1" locked="0"/>
    </xf>
    <xf numFmtId="180" fontId="0" fillId="0" borderId="0" xfId="0" applyNumberFormat="1" applyAlignment="1" applyProtection="1">
      <alignment horizontal="center"/>
      <protection hidden="1" locked="0"/>
    </xf>
    <xf numFmtId="1" fontId="0" fillId="0" borderId="22" xfId="0" applyNumberFormat="1" applyBorder="1" applyAlignment="1" applyProtection="1">
      <alignment horizontal="center"/>
      <protection hidden="1" locked="0"/>
    </xf>
    <xf numFmtId="180" fontId="0" fillId="0" borderId="0" xfId="0" applyNumberFormat="1" applyBorder="1" applyAlignment="1" applyProtection="1">
      <alignment horizontal="center"/>
      <protection hidden="1" locked="0"/>
    </xf>
    <xf numFmtId="180" fontId="0" fillId="0" borderId="21" xfId="0" applyNumberFormat="1" applyBorder="1" applyAlignment="1" applyProtection="1">
      <alignment horizontal="center"/>
      <protection hidden="1" locked="0"/>
    </xf>
    <xf numFmtId="0" fontId="0" fillId="19" borderId="21" xfId="0" applyFill="1" applyBorder="1" applyAlignment="1" applyProtection="1">
      <alignment horizontal="center"/>
      <protection hidden="1" locked="0"/>
    </xf>
    <xf numFmtId="180" fontId="0" fillId="19" borderId="21" xfId="0" applyNumberFormat="1" applyFill="1" applyBorder="1" applyAlignment="1" applyProtection="1">
      <alignment horizontal="center"/>
      <protection hidden="1" locked="0"/>
    </xf>
    <xf numFmtId="180" fontId="0" fillId="19" borderId="22" xfId="0" applyNumberFormat="1" applyFill="1" applyBorder="1" applyAlignment="1" applyProtection="1">
      <alignment horizontal="center"/>
      <protection hidden="1" locked="0"/>
    </xf>
    <xf numFmtId="183" fontId="0" fillId="16" borderId="0" xfId="0" applyNumberFormat="1" applyFill="1" applyAlignment="1" applyProtection="1">
      <alignment horizont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22" xfId="0" applyBorder="1" applyAlignment="1" applyProtection="1">
      <alignment/>
      <protection hidden="1" locked="0"/>
    </xf>
    <xf numFmtId="0" fontId="0" fillId="0" borderId="21" xfId="0" applyBorder="1" applyAlignment="1" applyProtection="1">
      <alignment horizontal="center"/>
      <protection hidden="1" locked="0"/>
    </xf>
    <xf numFmtId="180" fontId="0" fillId="0" borderId="22" xfId="0" applyNumberFormat="1" applyBorder="1" applyAlignment="1" applyProtection="1">
      <alignment horizontal="center"/>
      <protection hidden="1" locked="0"/>
    </xf>
    <xf numFmtId="49" fontId="1" fillId="0" borderId="0" xfId="0" applyNumberFormat="1" applyFont="1" applyAlignment="1" applyProtection="1">
      <alignment horizontal="left"/>
      <protection hidden="1" locked="0"/>
    </xf>
    <xf numFmtId="0" fontId="0" fillId="16" borderId="0" xfId="0" applyFill="1" applyAlignment="1" applyProtection="1">
      <alignment vertical="top"/>
      <protection hidden="1" locked="0"/>
    </xf>
    <xf numFmtId="0" fontId="0" fillId="0" borderId="0" xfId="0" applyAlignment="1" applyProtection="1">
      <alignment vertical="top"/>
      <protection hidden="1" locked="0"/>
    </xf>
    <xf numFmtId="0" fontId="0" fillId="0" borderId="0" xfId="0" applyBorder="1" applyAlignment="1" applyProtection="1">
      <alignment horizontal="center"/>
      <protection hidden="1" locked="0"/>
    </xf>
    <xf numFmtId="0" fontId="0" fillId="0" borderId="0" xfId="0" applyBorder="1" applyAlignment="1" applyProtection="1">
      <alignment horizontal="center" wrapText="1"/>
      <protection hidden="1" locked="0"/>
    </xf>
    <xf numFmtId="0" fontId="0" fillId="0" borderId="22" xfId="0" applyBorder="1" applyAlignment="1" applyProtection="1">
      <alignment horizontal="center" vertical="center" wrapText="1"/>
      <protection hidden="1" locked="0"/>
    </xf>
    <xf numFmtId="0" fontId="1" fillId="19" borderId="21" xfId="0" applyFont="1" applyFill="1" applyBorder="1" applyAlignment="1" applyProtection="1">
      <alignment horizontal="center"/>
      <protection hidden="1" locked="0"/>
    </xf>
    <xf numFmtId="0" fontId="1" fillId="19" borderId="22" xfId="0" applyFont="1" applyFill="1" applyBorder="1" applyAlignment="1" applyProtection="1">
      <alignment horizontal="center"/>
      <protection hidden="1" locked="0"/>
    </xf>
    <xf numFmtId="0" fontId="0" fillId="0" borderId="0" xfId="0" applyFill="1" applyBorder="1" applyAlignment="1" applyProtection="1">
      <alignment/>
      <protection hidden="1" locked="0"/>
    </xf>
    <xf numFmtId="0" fontId="0" fillId="16" borderId="0" xfId="0" applyFill="1" applyBorder="1" applyAlignment="1" applyProtection="1">
      <alignment/>
      <protection hidden="1" locked="0"/>
    </xf>
    <xf numFmtId="0" fontId="1" fillId="0" borderId="0" xfId="0" applyFont="1" applyFill="1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 horizontal="left"/>
      <protection hidden="1" locked="0"/>
    </xf>
    <xf numFmtId="180" fontId="0" fillId="0" borderId="0" xfId="0" applyNumberFormat="1" applyFill="1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 wrapText="1"/>
      <protection hidden="1" locked="0"/>
    </xf>
    <xf numFmtId="2" fontId="1" fillId="0" borderId="0" xfId="0" applyNumberFormat="1" applyFont="1" applyFill="1" applyBorder="1" applyAlignment="1" applyProtection="1">
      <alignment/>
      <protection hidden="1" locked="0"/>
    </xf>
    <xf numFmtId="180" fontId="0" fillId="16" borderId="0" xfId="0" applyNumberFormat="1" applyFill="1" applyBorder="1" applyAlignment="1" applyProtection="1">
      <alignment/>
      <protection hidden="1" locked="0"/>
    </xf>
    <xf numFmtId="2" fontId="0" fillId="20" borderId="24" xfId="0" applyNumberFormat="1" applyFill="1" applyBorder="1" applyAlignment="1" applyProtection="1">
      <alignment horizontal="center"/>
      <protection/>
    </xf>
    <xf numFmtId="180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180" fontId="0" fillId="0" borderId="0" xfId="0" applyNumberFormat="1" applyFill="1" applyBorder="1" applyAlignment="1" applyProtection="1">
      <alignment horizontal="center"/>
      <protection hidden="1" locked="0"/>
    </xf>
    <xf numFmtId="1" fontId="0" fillId="0" borderId="0" xfId="0" applyNumberFormat="1" applyFill="1" applyBorder="1" applyAlignment="1" applyProtection="1">
      <alignment horizontal="center"/>
      <protection hidden="1" locked="0"/>
    </xf>
    <xf numFmtId="0" fontId="0" fillId="0" borderId="0" xfId="0" applyFill="1" applyBorder="1" applyAlignment="1" applyProtection="1">
      <alignment horizontal="center"/>
      <protection hidden="1" locked="0"/>
    </xf>
    <xf numFmtId="183" fontId="0" fillId="0" borderId="0" xfId="0" applyNumberFormat="1" applyFill="1" applyBorder="1" applyAlignment="1" applyProtection="1">
      <alignment horizontal="center"/>
      <protection hidden="1" locked="0"/>
    </xf>
    <xf numFmtId="0" fontId="0" fillId="16" borderId="14" xfId="0" applyFill="1" applyBorder="1" applyAlignment="1">
      <alignment/>
    </xf>
    <xf numFmtId="0" fontId="0" fillId="16" borderId="15" xfId="0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25" xfId="0" applyFill="1" applyBorder="1" applyAlignment="1">
      <alignment/>
    </xf>
    <xf numFmtId="0" fontId="0" fillId="16" borderId="0" xfId="0" applyFill="1" applyBorder="1" applyAlignment="1">
      <alignment horizontal="right"/>
    </xf>
    <xf numFmtId="0" fontId="0" fillId="16" borderId="26" xfId="0" applyFill="1" applyBorder="1" applyAlignment="1">
      <alignment horizontal="right"/>
    </xf>
    <xf numFmtId="2" fontId="0" fillId="16" borderId="0" xfId="0" applyNumberFormat="1" applyFill="1" applyBorder="1" applyAlignment="1">
      <alignment/>
    </xf>
    <xf numFmtId="0" fontId="0" fillId="16" borderId="26" xfId="0" applyFill="1" applyBorder="1" applyAlignment="1">
      <alignment/>
    </xf>
    <xf numFmtId="9" fontId="0" fillId="16" borderId="0" xfId="0" applyNumberFormat="1" applyFill="1" applyBorder="1" applyAlignment="1">
      <alignment/>
    </xf>
    <xf numFmtId="184" fontId="0" fillId="16" borderId="0" xfId="0" applyNumberFormat="1" applyFill="1" applyBorder="1" applyAlignment="1">
      <alignment/>
    </xf>
    <xf numFmtId="0" fontId="0" fillId="16" borderId="27" xfId="0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28" xfId="0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 applyProtection="1">
      <alignment horizontal="center"/>
      <protection locked="0"/>
    </xf>
    <xf numFmtId="2" fontId="1" fillId="8" borderId="17" xfId="0" applyNumberFormat="1" applyFont="1" applyFill="1" applyBorder="1" applyAlignment="1" applyProtection="1">
      <alignment/>
      <protection/>
    </xf>
    <xf numFmtId="0" fontId="0" fillId="8" borderId="17" xfId="0" applyFill="1" applyBorder="1" applyAlignment="1" applyProtection="1">
      <alignment/>
      <protection/>
    </xf>
    <xf numFmtId="2" fontId="1" fillId="18" borderId="17" xfId="0" applyNumberFormat="1" applyFont="1" applyFill="1" applyBorder="1" applyAlignment="1" applyProtection="1">
      <alignment/>
      <protection/>
    </xf>
    <xf numFmtId="0" fontId="0" fillId="18" borderId="18" xfId="0" applyFill="1" applyBorder="1" applyAlignment="1" applyProtection="1">
      <alignment/>
      <protection/>
    </xf>
    <xf numFmtId="1" fontId="1" fillId="8" borderId="17" xfId="0" applyNumberFormat="1" applyFont="1" applyFill="1" applyBorder="1" applyAlignment="1" applyProtection="1">
      <alignment/>
      <protection/>
    </xf>
    <xf numFmtId="1" fontId="1" fillId="18" borderId="17" xfId="0" applyNumberFormat="1" applyFont="1" applyFill="1" applyBorder="1" applyAlignment="1" applyProtection="1">
      <alignment/>
      <protection/>
    </xf>
    <xf numFmtId="0" fontId="1" fillId="0" borderId="27" xfId="0" applyFont="1" applyBorder="1" applyAlignment="1">
      <alignment/>
    </xf>
    <xf numFmtId="0" fontId="10" fillId="0" borderId="13" xfId="0" applyFont="1" applyBorder="1" applyAlignment="1" applyProtection="1">
      <alignment horizontal="right"/>
      <protection hidden="1" locked="0"/>
    </xf>
    <xf numFmtId="0" fontId="0" fillId="0" borderId="28" xfId="0" applyBorder="1" applyAlignment="1" applyProtection="1">
      <alignment horizontal="left"/>
      <protection locked="0"/>
    </xf>
    <xf numFmtId="0" fontId="1" fillId="8" borderId="17" xfId="0" applyFont="1" applyFill="1" applyBorder="1" applyAlignment="1" applyProtection="1">
      <alignment/>
      <protection/>
    </xf>
    <xf numFmtId="0" fontId="1" fillId="18" borderId="18" xfId="0" applyFont="1" applyFill="1" applyBorder="1" applyAlignment="1" applyProtection="1">
      <alignment/>
      <protection/>
    </xf>
    <xf numFmtId="0" fontId="10" fillId="0" borderId="17" xfId="0" applyFont="1" applyBorder="1" applyAlignment="1" applyProtection="1">
      <alignment/>
      <protection hidden="1" locked="0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0" fillId="0" borderId="16" xfId="0" applyFont="1" applyBorder="1" applyAlignment="1" applyProtection="1">
      <alignment/>
      <protection hidden="1" locked="0"/>
    </xf>
    <xf numFmtId="0" fontId="10" fillId="0" borderId="17" xfId="0" applyFont="1" applyFill="1" applyBorder="1" applyAlignment="1" applyProtection="1">
      <alignment/>
      <protection hidden="1" locked="0"/>
    </xf>
    <xf numFmtId="0" fontId="1" fillId="0" borderId="18" xfId="0" applyFont="1" applyFill="1" applyBorder="1" applyAlignment="1">
      <alignment wrapText="1"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1" fillId="0" borderId="0" xfId="0" applyFont="1" applyAlignment="1">
      <alignment/>
    </xf>
    <xf numFmtId="0" fontId="10" fillId="0" borderId="15" xfId="0" applyFont="1" applyBorder="1" applyAlignment="1" applyProtection="1">
      <alignment/>
      <protection hidden="1" locked="0"/>
    </xf>
    <xf numFmtId="0" fontId="10" fillId="0" borderId="29" xfId="0" applyFont="1" applyBorder="1" applyAlignment="1" applyProtection="1">
      <alignment/>
      <protection hidden="1" locked="0"/>
    </xf>
    <xf numFmtId="0" fontId="0" fillId="0" borderId="30" xfId="0" applyBorder="1" applyAlignment="1">
      <alignment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180" fontId="0" fillId="0" borderId="0" xfId="0" applyNumberForma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16" borderId="0" xfId="0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180" fontId="0" fillId="0" borderId="0" xfId="0" applyNumberForma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 applyProtection="1">
      <alignment horizontal="center" vertical="top" wrapText="1"/>
      <protection locked="0"/>
    </xf>
    <xf numFmtId="0" fontId="0" fillId="16" borderId="0" xfId="0" applyFill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16" borderId="0" xfId="0" applyFill="1" applyBorder="1" applyAlignment="1" applyProtection="1">
      <alignment/>
      <protection locked="0"/>
    </xf>
    <xf numFmtId="180" fontId="0" fillId="0" borderId="0" xfId="0" applyNumberFormat="1" applyFill="1" applyBorder="1" applyAlignment="1" applyProtection="1">
      <alignment/>
      <protection locked="0"/>
    </xf>
    <xf numFmtId="180" fontId="0" fillId="16" borderId="0" xfId="0" applyNumberFormat="1" applyFill="1" applyBorder="1" applyAlignment="1" applyProtection="1">
      <alignment/>
      <protection locked="0"/>
    </xf>
    <xf numFmtId="0" fontId="0" fillId="16" borderId="10" xfId="0" applyFill="1" applyBorder="1" applyAlignment="1" applyProtection="1">
      <alignment/>
      <protection locked="0"/>
    </xf>
    <xf numFmtId="180" fontId="0" fillId="16" borderId="10" xfId="0" applyNumberFormat="1" applyFill="1" applyBorder="1" applyAlignment="1" applyProtection="1">
      <alignment/>
      <protection locked="0"/>
    </xf>
    <xf numFmtId="180" fontId="0" fillId="0" borderId="0" xfId="0" applyNumberFormat="1" applyAlignment="1" applyProtection="1">
      <alignment/>
      <protection locked="0"/>
    </xf>
    <xf numFmtId="2" fontId="0" fillId="20" borderId="27" xfId="0" applyNumberFormat="1" applyFill="1" applyBorder="1" applyAlignment="1" applyProtection="1">
      <alignment horizontal="right"/>
      <protection/>
    </xf>
    <xf numFmtId="0" fontId="0" fillId="0" borderId="13" xfId="0" applyFill="1" applyBorder="1" applyAlignment="1">
      <alignment/>
    </xf>
    <xf numFmtId="0" fontId="5" fillId="16" borderId="0" xfId="0" applyFont="1" applyFill="1" applyAlignment="1" applyProtection="1">
      <alignment/>
      <protection locked="0"/>
    </xf>
    <xf numFmtId="0" fontId="5" fillId="16" borderId="0" xfId="0" applyFont="1" applyFill="1" applyBorder="1" applyAlignment="1" applyProtection="1">
      <alignment/>
      <protection locked="0"/>
    </xf>
    <xf numFmtId="180" fontId="5" fillId="16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180" fontId="0" fillId="0" borderId="0" xfId="0" applyNumberFormat="1" applyAlignment="1" applyProtection="1">
      <alignment horizontal="left"/>
      <protection/>
    </xf>
    <xf numFmtId="0" fontId="11" fillId="16" borderId="0" xfId="0" applyFont="1" applyFill="1" applyAlignment="1" applyProtection="1">
      <alignment/>
      <protection/>
    </xf>
    <xf numFmtId="0" fontId="5" fillId="16" borderId="0" xfId="0" applyFont="1" applyFill="1" applyAlignment="1" applyProtection="1">
      <alignment/>
      <protection/>
    </xf>
    <xf numFmtId="0" fontId="5" fillId="16" borderId="0" xfId="0" applyFont="1" applyFill="1" applyBorder="1" applyAlignment="1" applyProtection="1">
      <alignment/>
      <protection/>
    </xf>
    <xf numFmtId="0" fontId="0" fillId="0" borderId="31" xfId="0" applyBorder="1" applyAlignment="1">
      <alignment wrapText="1"/>
    </xf>
    <xf numFmtId="0" fontId="12" fillId="0" borderId="0" xfId="0" applyFont="1" applyAlignment="1">
      <alignment/>
    </xf>
    <xf numFmtId="0" fontId="0" fillId="0" borderId="32" xfId="0" applyBorder="1" applyAlignment="1" applyProtection="1">
      <alignment horizontal="left"/>
      <protection/>
    </xf>
    <xf numFmtId="0" fontId="0" fillId="0" borderId="32" xfId="0" applyBorder="1" applyAlignment="1" applyProtection="1">
      <alignment horizontal="center"/>
      <protection/>
    </xf>
    <xf numFmtId="2" fontId="0" fillId="0" borderId="32" xfId="0" applyNumberFormat="1" applyFill="1" applyBorder="1" applyAlignment="1" applyProtection="1">
      <alignment horizontal="center"/>
      <protection/>
    </xf>
    <xf numFmtId="180" fontId="0" fillId="0" borderId="32" xfId="0" applyNumberFormat="1" applyBorder="1" applyAlignment="1" applyProtection="1">
      <alignment horizontal="left"/>
      <protection/>
    </xf>
    <xf numFmtId="1" fontId="0" fillId="0" borderId="32" xfId="0" applyNumberFormat="1" applyBorder="1" applyAlignment="1" applyProtection="1">
      <alignment horizontal="center"/>
      <protection/>
    </xf>
    <xf numFmtId="180" fontId="0" fillId="0" borderId="32" xfId="0" applyNumberFormat="1" applyBorder="1" applyAlignment="1" applyProtection="1">
      <alignment horizontal="center"/>
      <protection/>
    </xf>
    <xf numFmtId="180" fontId="0" fillId="0" borderId="32" xfId="0" applyNumberFormat="1" applyFill="1" applyBorder="1" applyAlignment="1" applyProtection="1">
      <alignment horizontal="left"/>
      <protection/>
    </xf>
    <xf numFmtId="0" fontId="0" fillId="0" borderId="32" xfId="0" applyFill="1" applyBorder="1" applyAlignment="1" applyProtection="1">
      <alignment horizontal="left"/>
      <protection/>
    </xf>
    <xf numFmtId="0" fontId="0" fillId="0" borderId="32" xfId="0" applyFill="1" applyBorder="1" applyAlignment="1" applyProtection="1">
      <alignment horizontal="center"/>
      <protection/>
    </xf>
    <xf numFmtId="180" fontId="0" fillId="0" borderId="32" xfId="0" applyNumberFormat="1" applyFill="1" applyBorder="1" applyAlignment="1" applyProtection="1">
      <alignment horizontal="center"/>
      <protection/>
    </xf>
    <xf numFmtId="1" fontId="0" fillId="0" borderId="32" xfId="0" applyNumberForma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21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</cellXfs>
  <cellStyles count="49">
    <cellStyle name="Normal" xfId="0"/>
    <cellStyle name="Currency [0]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Check Cell" xfId="51"/>
    <cellStyle name="Input" xfId="52"/>
    <cellStyle name="Linked Cell" xfId="53"/>
    <cellStyle name="Currency" xfId="54"/>
    <cellStyle name="Neutral" xfId="55"/>
    <cellStyle name="Note" xfId="56"/>
    <cellStyle name="Output" xfId="57"/>
    <cellStyle name="Percent" xfId="58"/>
    <cellStyle name="Followed Hyperlink" xfId="59"/>
    <cellStyle name="Title" xfId="60"/>
    <cellStyle name="Total" xfId="61"/>
    <cellStyle name="Warning Text" xfId="62"/>
  </cellStyles>
  <dxfs count="12">
    <dxf>
      <fill>
        <patternFill>
          <bgColor indexed="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0</xdr:row>
      <xdr:rowOff>142875</xdr:rowOff>
    </xdr:from>
    <xdr:to>
      <xdr:col>21</xdr:col>
      <xdr:colOff>28575</xdr:colOff>
      <xdr:row>1</xdr:row>
      <xdr:rowOff>104775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142875"/>
          <a:ext cx="771525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0</xdr:row>
      <xdr:rowOff>142875</xdr:rowOff>
    </xdr:from>
    <xdr:to>
      <xdr:col>17</xdr:col>
      <xdr:colOff>9525</xdr:colOff>
      <xdr:row>2</xdr:row>
      <xdr:rowOff>19050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142875"/>
          <a:ext cx="771525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BB149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13.140625" style="0" customWidth="1"/>
    <col min="2" max="2" width="17.8515625" style="0" customWidth="1"/>
    <col min="3" max="3" width="12.00390625" style="0" customWidth="1"/>
    <col min="4" max="4" width="21.00390625" style="0" customWidth="1"/>
    <col min="5" max="5" width="13.421875" style="0" customWidth="1"/>
    <col min="6" max="6" width="12.00390625" style="0" customWidth="1"/>
    <col min="7" max="7" width="11.8515625" style="0" hidden="1" customWidth="1"/>
    <col min="8" max="8" width="6.28125" style="0" hidden="1" customWidth="1"/>
    <col min="9" max="9" width="14.8515625" style="0" hidden="1" customWidth="1"/>
    <col min="10" max="10" width="7.421875" style="0" hidden="1" customWidth="1"/>
    <col min="11" max="11" width="13.28125" style="0" bestFit="1" customWidth="1"/>
    <col min="12" max="12" width="13.8515625" style="0" customWidth="1"/>
    <col min="13" max="13" width="11.7109375" style="0" customWidth="1"/>
    <col min="14" max="14" width="17.8515625" style="0" customWidth="1"/>
    <col min="15" max="15" width="7.8515625" style="0" bestFit="1" customWidth="1"/>
    <col min="16" max="16" width="8.00390625" style="0" bestFit="1" customWidth="1"/>
    <col min="17" max="17" width="7.7109375" style="15" bestFit="1" customWidth="1"/>
    <col min="18" max="18" width="4.00390625" style="0" customWidth="1"/>
    <col min="19" max="19" width="7.7109375" style="0" bestFit="1" customWidth="1"/>
    <col min="20" max="20" width="13.28125" style="0" customWidth="1"/>
    <col min="21" max="21" width="11.140625" style="0" customWidth="1"/>
    <col min="22" max="22" width="8.421875" style="2" customWidth="1"/>
    <col min="23" max="23" width="13.421875" style="2" customWidth="1"/>
    <col min="24" max="25" width="8.421875" style="0" customWidth="1"/>
  </cols>
  <sheetData>
    <row r="1" spans="1:54" ht="18">
      <c r="A1" s="191" t="s">
        <v>152</v>
      </c>
      <c r="Q1"/>
      <c r="V1" s="3"/>
      <c r="W1" s="3"/>
      <c r="X1" s="4"/>
      <c r="Y1" s="4"/>
      <c r="Z1" s="4"/>
      <c r="AA1" s="4"/>
      <c r="AB1" s="4"/>
      <c r="AC1" s="4"/>
      <c r="AD1" s="11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12" customHeight="1" thickBot="1">
      <c r="A2" s="17"/>
      <c r="D2" s="18"/>
      <c r="E2" s="18"/>
      <c r="F2" s="18"/>
      <c r="G2" s="18"/>
      <c r="H2" s="18"/>
      <c r="I2" s="18"/>
      <c r="J2" s="18"/>
      <c r="Q2"/>
      <c r="V2" s="10"/>
      <c r="W2" s="10"/>
      <c r="X2" s="10"/>
      <c r="Y2" s="10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4" ht="15">
      <c r="A3" s="17" t="s">
        <v>156</v>
      </c>
      <c r="C3" s="155">
        <v>5</v>
      </c>
      <c r="D3" s="27" t="s">
        <v>164</v>
      </c>
      <c r="E3" s="156">
        <v>20</v>
      </c>
      <c r="F3" s="29" t="s">
        <v>27</v>
      </c>
      <c r="G3" s="25"/>
      <c r="H3" s="25"/>
      <c r="I3" s="25"/>
      <c r="J3" s="25"/>
      <c r="Q3"/>
      <c r="V3" s="3"/>
      <c r="W3" s="5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ht="26.25" thickBot="1">
      <c r="A4" s="17"/>
      <c r="C4" s="155"/>
      <c r="D4" s="190" t="s">
        <v>165</v>
      </c>
      <c r="E4" s="157">
        <v>15</v>
      </c>
      <c r="F4" s="158" t="s">
        <v>27</v>
      </c>
      <c r="G4" s="25"/>
      <c r="H4" s="25"/>
      <c r="I4" s="25"/>
      <c r="J4" s="25"/>
      <c r="Q4"/>
      <c r="V4" s="3"/>
      <c r="W4" s="5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4" ht="13.5" thickBot="1">
      <c r="A5" s="149" t="s">
        <v>157</v>
      </c>
      <c r="B5" s="28"/>
      <c r="C5" s="150">
        <v>40</v>
      </c>
      <c r="F5" s="31"/>
      <c r="G5" s="31"/>
      <c r="H5" s="31"/>
      <c r="I5" s="31"/>
      <c r="J5" s="31"/>
      <c r="Q5"/>
      <c r="V5" s="3"/>
      <c r="W5" s="3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</row>
    <row r="6" spans="1:54" ht="13.5" thickBot="1">
      <c r="A6" s="133" t="s">
        <v>158</v>
      </c>
      <c r="B6" s="30"/>
      <c r="C6" s="151">
        <v>20</v>
      </c>
      <c r="D6" s="152" t="s">
        <v>95</v>
      </c>
      <c r="E6" s="22"/>
      <c r="F6" s="22"/>
      <c r="G6" s="22"/>
      <c r="H6" s="22"/>
      <c r="I6" s="22"/>
      <c r="J6" s="22"/>
      <c r="K6" s="214"/>
      <c r="L6" s="214"/>
      <c r="Q6"/>
      <c r="V6" s="3"/>
      <c r="W6" s="3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3:54" ht="13.5" thickBot="1">
      <c r="C7" s="33"/>
      <c r="D7" s="34"/>
      <c r="Q7"/>
      <c r="V7" s="3"/>
      <c r="W7" s="3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</row>
    <row r="8" spans="1:54" ht="13.5" thickBot="1">
      <c r="A8" s="133" t="s">
        <v>155</v>
      </c>
      <c r="B8" s="30"/>
      <c r="C8" s="147">
        <v>2</v>
      </c>
      <c r="D8" s="148" t="str">
        <f>IF(C8=3,"veľký výmenník",IF(C8=2,"stredný výmenník",IF(C8=1,"malý výmenník")))</f>
        <v>stredný výmenník</v>
      </c>
      <c r="E8" s="215" t="s">
        <v>166</v>
      </c>
      <c r="F8" s="215"/>
      <c r="G8" s="1"/>
      <c r="H8" s="1"/>
      <c r="I8" s="1"/>
      <c r="J8" s="1"/>
      <c r="K8" s="215" t="s">
        <v>167</v>
      </c>
      <c r="L8" s="215"/>
      <c r="Q8"/>
      <c r="V8" s="3"/>
      <c r="W8" s="3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</row>
    <row r="9" spans="1:54" ht="13.5" thickBot="1">
      <c r="A9" s="133" t="s">
        <v>154</v>
      </c>
      <c r="B9" s="30"/>
      <c r="C9" s="30"/>
      <c r="D9" s="134"/>
      <c r="E9" s="140">
        <f>IF(C8=1,VLOOKUP(C10,'Erwärmung 40 K'!B1:E5,2),IF(C8=2,VLOOKUP(C10,'Erwärmung 40 K'!B7:E11,2),IF(C8=3,VLOOKUP(C10,'Erwärmung 40 K'!B13:E17,2),)))</f>
        <v>958.3775496878417</v>
      </c>
      <c r="F9" s="145" t="s">
        <v>29</v>
      </c>
      <c r="G9" s="145"/>
      <c r="H9" s="145"/>
      <c r="I9" s="145"/>
      <c r="J9" s="145"/>
      <c r="K9" s="141">
        <f>IF(C8=1,VLOOKUP(C10,'Erwärmung 35 K'!B1:E6,2),IF(C8=2,VLOOKUP(C10,'Erwärmung 35 K'!B8:E13,2),IF(C8=3,VLOOKUP(C10,'Erwärmung 35 K'!B15:E20,2),)))</f>
        <v>813.2831071365223</v>
      </c>
      <c r="L9" s="146" t="s">
        <v>29</v>
      </c>
      <c r="Q9"/>
      <c r="V9" s="3"/>
      <c r="W9" s="3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</row>
    <row r="10" spans="1:54" ht="13.5" thickBot="1">
      <c r="A10" s="142" t="s">
        <v>153</v>
      </c>
      <c r="B10" s="26"/>
      <c r="C10" s="143">
        <v>70</v>
      </c>
      <c r="D10" s="144" t="s">
        <v>42</v>
      </c>
      <c r="E10" s="153"/>
      <c r="F10" s="154"/>
      <c r="G10" s="154"/>
      <c r="H10" s="154"/>
      <c r="I10" s="154"/>
      <c r="J10" s="154"/>
      <c r="K10" s="153"/>
      <c r="L10" s="154"/>
      <c r="M10" s="19"/>
      <c r="N10" s="38"/>
      <c r="Q10"/>
      <c r="V10" s="3"/>
      <c r="W10" s="3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 ht="13.5" thickBot="1">
      <c r="A11" s="133" t="s">
        <v>183</v>
      </c>
      <c r="B11" s="30"/>
      <c r="C11" s="134"/>
      <c r="D11" s="135"/>
      <c r="E11" s="140">
        <f>IF(C8=1,VLOOKUP(C10,'Erwärmung 40 K'!B1:E5,3),IF(C8=2,VLOOKUP(C10,'Erwärmung 40 K'!B7:E11,3),IF(C8=3,VLOOKUP(C10,'Erwärmung 40 K'!B13:E17,3),)))</f>
        <v>21.61861800378138</v>
      </c>
      <c r="F11" s="137" t="s">
        <v>42</v>
      </c>
      <c r="G11" s="137"/>
      <c r="H11" s="137"/>
      <c r="I11" s="137"/>
      <c r="J11" s="137"/>
      <c r="K11" s="141">
        <f>IF(C8=1,VLOOKUP(C10,'Erwärmung 35 K'!B1:E6,3),IF(C8=2,VLOOKUP(C10,'Erwärmung 35 K'!B8:E13,3),IF(C8=3,VLOOKUP(C10,'Erwärmung 35 K'!B15:E20,3),)))</f>
        <v>17.86267525019856</v>
      </c>
      <c r="L11" s="139" t="s">
        <v>42</v>
      </c>
      <c r="Q11"/>
      <c r="V11" s="3"/>
      <c r="W11" s="3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</row>
    <row r="12" spans="1:54" ht="13.5" thickBot="1">
      <c r="A12" s="133" t="s">
        <v>159</v>
      </c>
      <c r="B12" s="30"/>
      <c r="C12" s="134"/>
      <c r="D12" s="135"/>
      <c r="E12" s="136">
        <f>IF(C8=1,VLOOKUP(C10,'Erwärmung 40 K'!B1:E5,4),IF(C8=2,VLOOKUP(C10,'Erwärmung 40 K'!B7:E11,4),IF(C8=3,VLOOKUP(C10,'Erwärmung 40 K'!B13:E17,4),)))</f>
        <v>0.27554625832370144</v>
      </c>
      <c r="F12" s="137" t="s">
        <v>31</v>
      </c>
      <c r="G12" s="137"/>
      <c r="H12" s="137"/>
      <c r="I12" s="137"/>
      <c r="J12" s="137"/>
      <c r="K12" s="138">
        <f>IF(C8=1,VLOOKUP(C10,'Erwärmung 35 K'!B1:E6,4),IF(C8=2,VLOOKUP(C10,'Erwärmung 35 K'!B8:E13,4),IF(C8=3,VLOOKUP(C10,'Erwärmung 35 K'!B15:E20,4),)))</f>
        <v>0.1984288237060908</v>
      </c>
      <c r="L12" s="139" t="s">
        <v>31</v>
      </c>
      <c r="Q12"/>
      <c r="V12" s="3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</row>
    <row r="13" spans="1:54" ht="13.5" thickBot="1">
      <c r="A13" s="133" t="s">
        <v>160</v>
      </c>
      <c r="B13" s="30"/>
      <c r="C13" s="134"/>
      <c r="D13" s="135"/>
      <c r="E13" s="136">
        <f>(E9/60/60)*4.18*(C10-E11)</f>
        <v>53.83797076978843</v>
      </c>
      <c r="F13" s="137" t="s">
        <v>150</v>
      </c>
      <c r="G13" s="137"/>
      <c r="H13" s="137"/>
      <c r="I13" s="137"/>
      <c r="J13" s="137"/>
      <c r="K13" s="138">
        <f>(K9/60/60)*4.18*(C10-K11)</f>
        <v>49.23390412940902</v>
      </c>
      <c r="L13" s="139" t="s">
        <v>150</v>
      </c>
      <c r="Q13"/>
      <c r="V13" s="3"/>
      <c r="W13" s="3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</row>
    <row r="14" spans="1:54" ht="13.5" thickBot="1">
      <c r="A14" s="17" t="s">
        <v>161</v>
      </c>
      <c r="C14" s="1"/>
      <c r="D14" s="1"/>
      <c r="E14" s="52">
        <v>40</v>
      </c>
      <c r="F14" s="19" t="s">
        <v>42</v>
      </c>
      <c r="G14" s="19"/>
      <c r="H14" s="19"/>
      <c r="I14" s="19"/>
      <c r="J14" s="19"/>
      <c r="K14" s="180">
        <f>IF($C$5=40,$C$6*(50-$E$14)/($E$14-$E$15)+$C$6,IF($C$5=35,$C$6*(45-$E$14)/($E$14-$E$15)+$C$6))</f>
        <v>26.666666666666668</v>
      </c>
      <c r="L14" s="181" t="s">
        <v>46</v>
      </c>
      <c r="M14" s="30" t="s">
        <v>168</v>
      </c>
      <c r="N14" s="30"/>
      <c r="O14" s="30"/>
      <c r="P14" s="37"/>
      <c r="Q14"/>
      <c r="T14" s="19"/>
      <c r="V14" s="154"/>
      <c r="W14" s="154"/>
      <c r="X14" s="19"/>
      <c r="Y14" s="19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</row>
    <row r="15" spans="1:54" ht="12.75">
      <c r="A15" s="17" t="s">
        <v>162</v>
      </c>
      <c r="C15" s="1"/>
      <c r="D15" s="1"/>
      <c r="E15" s="38">
        <v>10</v>
      </c>
      <c r="F15" s="19" t="s">
        <v>42</v>
      </c>
      <c r="G15" s="19"/>
      <c r="H15" s="19"/>
      <c r="I15" s="19"/>
      <c r="J15" s="19"/>
      <c r="Q15"/>
      <c r="T15" s="19"/>
      <c r="V15" s="154"/>
      <c r="W15" s="154"/>
      <c r="X15" s="19"/>
      <c r="Y15" s="19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</row>
    <row r="16" spans="1:54" ht="12.75">
      <c r="A16" s="17"/>
      <c r="C16" s="1"/>
      <c r="D16" s="1"/>
      <c r="F16" s="19"/>
      <c r="G16" s="19"/>
      <c r="H16" s="19"/>
      <c r="I16" s="19"/>
      <c r="J16" s="19"/>
      <c r="Q16"/>
      <c r="T16" s="19"/>
      <c r="V16" s="154"/>
      <c r="W16" s="154"/>
      <c r="X16" s="19"/>
      <c r="Y16" s="19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</row>
    <row r="17" spans="1:54" ht="12.75">
      <c r="A17" s="17" t="s">
        <v>163</v>
      </c>
      <c r="C17" s="1"/>
      <c r="D17" s="1"/>
      <c r="O17" s="113"/>
      <c r="P17" s="113"/>
      <c r="Q17" s="113"/>
      <c r="R17" s="113"/>
      <c r="S17" s="113"/>
      <c r="T17" s="113"/>
      <c r="V17" s="154"/>
      <c r="W17" s="154"/>
      <c r="X17" s="19"/>
      <c r="Y17" s="19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</row>
    <row r="18" spans="11:53" s="32" customFormat="1" ht="12" customHeight="1">
      <c r="K18" s="161"/>
      <c r="L18" s="161"/>
      <c r="M18" s="161"/>
      <c r="N18" s="161"/>
      <c r="O18" s="162"/>
      <c r="P18" s="162"/>
      <c r="Q18" s="162"/>
      <c r="R18" s="162"/>
      <c r="S18" s="162"/>
      <c r="T18" s="162"/>
      <c r="U18"/>
      <c r="V18" s="163"/>
      <c r="W18" s="163"/>
      <c r="X18" s="163"/>
      <c r="Y18" s="163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</row>
    <row r="19" spans="1:53" s="170" customFormat="1" ht="37.5" customHeight="1">
      <c r="A19" s="209" t="s">
        <v>169</v>
      </c>
      <c r="B19" s="203" t="s">
        <v>170</v>
      </c>
      <c r="C19" s="203" t="s">
        <v>171</v>
      </c>
      <c r="D19" s="212" t="s">
        <v>172</v>
      </c>
      <c r="E19" s="216" t="s">
        <v>173</v>
      </c>
      <c r="F19" s="203" t="s">
        <v>174</v>
      </c>
      <c r="G19" s="204"/>
      <c r="H19" s="204"/>
      <c r="I19" s="204"/>
      <c r="J19" s="204"/>
      <c r="K19" s="203" t="s">
        <v>176</v>
      </c>
      <c r="L19" s="205" t="s">
        <v>177</v>
      </c>
      <c r="M19" s="203" t="s">
        <v>178</v>
      </c>
      <c r="N19" s="203" t="s">
        <v>179</v>
      </c>
      <c r="O19" s="165"/>
      <c r="P19" s="166"/>
      <c r="Q19" s="167"/>
      <c r="R19" s="165"/>
      <c r="S19" s="159"/>
      <c r="T19" s="165"/>
      <c r="U19"/>
      <c r="V19" s="168"/>
      <c r="W19" s="168"/>
      <c r="X19" s="168"/>
      <c r="Y19" s="168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</row>
    <row r="20" spans="1:53" s="32" customFormat="1" ht="25.5">
      <c r="A20" s="210" t="s">
        <v>35</v>
      </c>
      <c r="B20" s="211"/>
      <c r="C20" s="211" t="s">
        <v>150</v>
      </c>
      <c r="D20" s="210" t="s">
        <v>151</v>
      </c>
      <c r="E20" s="217"/>
      <c r="F20" s="207" t="s">
        <v>175</v>
      </c>
      <c r="G20" s="206"/>
      <c r="H20" s="206"/>
      <c r="I20" s="206"/>
      <c r="J20" s="206"/>
      <c r="K20" s="213"/>
      <c r="L20" s="208" t="s">
        <v>151</v>
      </c>
      <c r="M20" s="207" t="s">
        <v>175</v>
      </c>
      <c r="N20" s="207"/>
      <c r="O20" s="162"/>
      <c r="P20" s="160"/>
      <c r="Q20" s="162"/>
      <c r="R20" s="162"/>
      <c r="S20" s="171"/>
      <c r="T20" s="162"/>
      <c r="U20"/>
      <c r="V20" s="163"/>
      <c r="W20" s="163"/>
      <c r="X20" s="163"/>
      <c r="Y20" s="163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</row>
    <row r="21" spans="1:53" s="31" customFormat="1" ht="12.75">
      <c r="A21" s="192">
        <v>1</v>
      </c>
      <c r="B21" s="193">
        <f>VLOOKUP(A21,Gleichz!$A$1:$B$60,2)</f>
        <v>1</v>
      </c>
      <c r="C21" s="193">
        <f>A21*$C$3</f>
        <v>5</v>
      </c>
      <c r="D21" s="194">
        <f>IF(C21&lt;20,20/($E$4*1.163),C21/($E$4*1.163))</f>
        <v>1.1464603038119805</v>
      </c>
      <c r="E21" s="195" t="str">
        <f>IF(D21&lt;1.7,"Star RS 25-6",IF(D21&gt;1.701&lt;6,"Top S 30/7",IF(D21&gt;6.01&lt;11,"Top S 40/7",IF(D21&gt;11.01&lt;19,"Top S 50/4",IF(D21&gt;19.01&lt;24,"Top S 65/10",IF(D21&gt;24,"Pumpenauslegung bitte mit Wilo abstimmen"))))))</f>
        <v>Star RS 25-6</v>
      </c>
      <c r="F21" s="196" t="str">
        <f>IF(D21&lt;1.7," 25",IF(D21&lt;=3,32,IF(D21&lt;=4,40,IF(D22&lt;=6.8,50,IF(D21&lt;=13,65,IF(D21&lt;=17,80,IF(D21&lt;=26,100)))))))</f>
        <v> 25</v>
      </c>
      <c r="G21" s="197"/>
      <c r="H21" s="197"/>
      <c r="I21" s="197">
        <f aca="true" t="shared" si="0" ref="I21:I52">IF($C$5=40,$E$9*B21*6*2/60,$K$9*B21*6*2/60)</f>
        <v>191.67550993756834</v>
      </c>
      <c r="J21" s="197">
        <f>(A21-B21)*$C$3/($E$3*1.163)</f>
        <v>0</v>
      </c>
      <c r="K21" s="197">
        <f>IF(I21&lt;300,300,IF(I21&lt;=500,500,IF(I21&lt;=750,750,IF(I21&lt;=1000,1000))))</f>
        <v>300</v>
      </c>
      <c r="L21" s="197">
        <f>(IF($C$5=40,$E$9,$K$9)*B21/1000)+J21</f>
        <v>0.9583775496878417</v>
      </c>
      <c r="M21" s="196" t="str">
        <f aca="true" t="shared" si="1" ref="M21:M70">IF(L21&lt;1.7," 25",IF(L21&lt;=3,32,IF(L21&lt;=4,40,IF(L21&lt;=6.8,50,IF(L21&lt;=13,65,IF(L21&lt;=17,80,IF(L21&lt;=26,100)))))))</f>
        <v> 25</v>
      </c>
      <c r="N21" s="198" t="str">
        <f>IF(L21&lt;1.4,"Stratos Eco 25 1/5",IF(L21&lt;=5.5,"Stratos 30 1/8",IF(L21&lt;=11,"Stratos 40 1/12",IF(L21&lt;=17,"Stratos 50 1/9",IF(L21&lt;=20,"Stratos 65 1/9",IF(L21&gt;20,"mit Wilo abstimmen"))))))</f>
        <v>Stratos Eco 25 1/5</v>
      </c>
      <c r="O21" s="160"/>
      <c r="P21" s="160"/>
      <c r="Q21" s="160"/>
      <c r="R21" s="160"/>
      <c r="S21" s="160"/>
      <c r="T21" s="173"/>
      <c r="U21"/>
      <c r="V21" s="172"/>
      <c r="W21" s="163"/>
      <c r="X21" s="172"/>
      <c r="Y21" s="172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</row>
    <row r="22" spans="1:53" s="10" customFormat="1" ht="12.75">
      <c r="A22" s="192">
        <v>2</v>
      </c>
      <c r="B22" s="193">
        <f>VLOOKUP(A22,Gleichz!$A$1:$B$60,2)</f>
        <v>2</v>
      </c>
      <c r="C22" s="193">
        <f aca="true" t="shared" si="2" ref="C22:C70">A22*$C$3</f>
        <v>10</v>
      </c>
      <c r="D22" s="194">
        <f aca="true" t="shared" si="3" ref="D22:D70">IF(C22&lt;20,20/($E$4*1.163),C22/($E$4*1.163))</f>
        <v>1.1464603038119805</v>
      </c>
      <c r="E22" s="195" t="str">
        <f>IF(D22&lt;1.7,"Star RS 25-6",IF(D22&gt;1.8&lt;6,"Top S 30/7",IF(D22&gt;6.01&lt;11,"Top S 40/7",IF(D22&gt;11.01&lt;19,"Top S 50/4",IF(D22&gt;19.01&lt;24,"Top S 65/10",IF(D22&gt;24,"Pumpenauslegung bitte mit Wilo abstimmen"))))))</f>
        <v>Star RS 25-6</v>
      </c>
      <c r="F22" s="196" t="str">
        <f aca="true" t="shared" si="4" ref="F22:F70">IF(D22&lt;1.7," 25",IF(D22&lt;=3,32,IF(D22&lt;=4,40,IF(D23&lt;=6.8,50,IF(D22&lt;=13,65,IF(D22&lt;=17,80,IF(D22&lt;=26,100)))))))</f>
        <v> 25</v>
      </c>
      <c r="G22" s="197"/>
      <c r="H22" s="197"/>
      <c r="I22" s="197">
        <f t="shared" si="0"/>
        <v>383.35101987513667</v>
      </c>
      <c r="J22" s="197">
        <f aca="true" t="shared" si="5" ref="J22:J70">(A22-B22)*$C$3/($E$3*1.163)</f>
        <v>0</v>
      </c>
      <c r="K22" s="197">
        <f aca="true" t="shared" si="6" ref="K22:K70">IF(I22&lt;300,300,IF(I22&lt;=500,500,IF(I22&lt;=750,750,IF(I22&lt;=1000,1000))))</f>
        <v>500</v>
      </c>
      <c r="L22" s="197">
        <f aca="true" t="shared" si="7" ref="L22:L70">(IF($C$5=40,$E$9,$K$9)*B22/1000)+J22</f>
        <v>1.9167550993756834</v>
      </c>
      <c r="M22" s="196">
        <f t="shared" si="1"/>
        <v>32</v>
      </c>
      <c r="N22" s="198" t="str">
        <f aca="true" t="shared" si="8" ref="N22:N70">IF(L22&lt;1.4,"Stratos Eco 25 1/5",IF(L22&lt;=5.5,"Stratos 30 1/8",IF(L22&lt;=11,"Stratos 40 1/12",IF(L22&lt;=17,"Stratos 50 1/9",IF(L22&lt;=20,"Stratos 65 1/9",IF(L22&gt;20,"mit Wilo abstimmen"))))))</f>
        <v>Stratos 30 1/8</v>
      </c>
      <c r="O22" s="160"/>
      <c r="P22" s="160"/>
      <c r="Q22" s="160"/>
      <c r="R22" s="160"/>
      <c r="S22" s="160"/>
      <c r="T22" s="173"/>
      <c r="U22"/>
      <c r="V22" s="172"/>
      <c r="W22" s="163"/>
      <c r="X22" s="172"/>
      <c r="Y22" s="173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</row>
    <row r="23" spans="1:53" s="10" customFormat="1" ht="12.75">
      <c r="A23" s="192">
        <v>3</v>
      </c>
      <c r="B23" s="193">
        <f>VLOOKUP(A23,Gleichz!$A$1:$B$60,2)</f>
        <v>2</v>
      </c>
      <c r="C23" s="193">
        <f t="shared" si="2"/>
        <v>15</v>
      </c>
      <c r="D23" s="194">
        <f t="shared" si="3"/>
        <v>1.1464603038119805</v>
      </c>
      <c r="E23" s="195" t="str">
        <f>IF(D23&lt;1.7,"Star RS 25-6",IF(D23&lt;=6,"Top S 30/7",IF(D23&lt;=11,"Top S 40/7",IF(D23&lt;=19,"Top S 50/4",IF(D23&lt;=24,"Top S 65/10",IF(D23&gt;24,"Pumpenauslegung bitte mit Wilo abstimmen"))))))</f>
        <v>Star RS 25-6</v>
      </c>
      <c r="F23" s="196" t="str">
        <f t="shared" si="4"/>
        <v> 25</v>
      </c>
      <c r="G23" s="197"/>
      <c r="H23" s="197"/>
      <c r="I23" s="197">
        <f t="shared" si="0"/>
        <v>383.35101987513667</v>
      </c>
      <c r="J23" s="197">
        <f t="shared" si="5"/>
        <v>0.21496130696474633</v>
      </c>
      <c r="K23" s="197">
        <f t="shared" si="6"/>
        <v>500</v>
      </c>
      <c r="L23" s="197">
        <f t="shared" si="7"/>
        <v>2.1317164063404297</v>
      </c>
      <c r="M23" s="196">
        <f t="shared" si="1"/>
        <v>32</v>
      </c>
      <c r="N23" s="198" t="str">
        <f t="shared" si="8"/>
        <v>Stratos 30 1/8</v>
      </c>
      <c r="O23" s="160"/>
      <c r="P23" s="160"/>
      <c r="Q23" s="160"/>
      <c r="R23" s="160"/>
      <c r="S23" s="160"/>
      <c r="T23" s="173"/>
      <c r="U23"/>
      <c r="V23" s="172"/>
      <c r="W23" s="163"/>
      <c r="X23" s="172"/>
      <c r="Y23" s="173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</row>
    <row r="24" spans="1:53" s="10" customFormat="1" ht="12.75">
      <c r="A24" s="192">
        <v>4</v>
      </c>
      <c r="B24" s="193">
        <f>VLOOKUP(A24,Gleichz!$A$1:$B$60,2)</f>
        <v>2</v>
      </c>
      <c r="C24" s="193">
        <f t="shared" si="2"/>
        <v>20</v>
      </c>
      <c r="D24" s="194">
        <f t="shared" si="3"/>
        <v>1.1464603038119805</v>
      </c>
      <c r="E24" s="195" t="str">
        <f aca="true" t="shared" si="9" ref="E24:E60">IF(D24&lt;1.7,"Star RS 25-6",IF(D24&lt;=6,"Top S 30/7",IF(D24&lt;=11,"Top S 40/7",IF(D24&lt;=19,"Top S 50/4",IF(D24&lt;=24,"Top S 65/10",IF(D24&gt;24,"Pumpenauslegung bitte mit Wilo abstimmen"))))))</f>
        <v>Star RS 25-6</v>
      </c>
      <c r="F24" s="196" t="str">
        <f t="shared" si="4"/>
        <v> 25</v>
      </c>
      <c r="G24" s="197"/>
      <c r="H24" s="197"/>
      <c r="I24" s="197">
        <f t="shared" si="0"/>
        <v>383.35101987513667</v>
      </c>
      <c r="J24" s="197">
        <f t="shared" si="5"/>
        <v>0.42992261392949266</v>
      </c>
      <c r="K24" s="197">
        <f t="shared" si="6"/>
        <v>500</v>
      </c>
      <c r="L24" s="197">
        <f t="shared" si="7"/>
        <v>2.346677713305176</v>
      </c>
      <c r="M24" s="196">
        <f t="shared" si="1"/>
        <v>32</v>
      </c>
      <c r="N24" s="198" t="str">
        <f t="shared" si="8"/>
        <v>Stratos 30 1/8</v>
      </c>
      <c r="O24" s="160"/>
      <c r="P24" s="160"/>
      <c r="Q24" s="160"/>
      <c r="R24" s="160"/>
      <c r="S24" s="160"/>
      <c r="T24" s="173"/>
      <c r="U24"/>
      <c r="V24" s="172"/>
      <c r="W24" s="163"/>
      <c r="X24" s="173"/>
      <c r="Y24" s="173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</row>
    <row r="25" spans="1:53" s="10" customFormat="1" ht="12.75">
      <c r="A25" s="192">
        <v>5</v>
      </c>
      <c r="B25" s="193">
        <f>VLOOKUP(A25,Gleichz!$A$1:$B$60,2)</f>
        <v>3</v>
      </c>
      <c r="C25" s="193">
        <f t="shared" si="2"/>
        <v>25</v>
      </c>
      <c r="D25" s="194">
        <f t="shared" si="3"/>
        <v>1.4330753797649756</v>
      </c>
      <c r="E25" s="195" t="str">
        <f t="shared" si="9"/>
        <v>Star RS 25-6</v>
      </c>
      <c r="F25" s="196" t="str">
        <f t="shared" si="4"/>
        <v> 25</v>
      </c>
      <c r="G25" s="197"/>
      <c r="H25" s="197"/>
      <c r="I25" s="197">
        <f t="shared" si="0"/>
        <v>575.026529812705</v>
      </c>
      <c r="J25" s="197">
        <f t="shared" si="5"/>
        <v>0.42992261392949266</v>
      </c>
      <c r="K25" s="197">
        <f t="shared" si="6"/>
        <v>750</v>
      </c>
      <c r="L25" s="197">
        <f t="shared" si="7"/>
        <v>3.3050552629930174</v>
      </c>
      <c r="M25" s="196">
        <f t="shared" si="1"/>
        <v>40</v>
      </c>
      <c r="N25" s="198" t="str">
        <f t="shared" si="8"/>
        <v>Stratos 30 1/8</v>
      </c>
      <c r="O25" s="160"/>
      <c r="P25" s="160"/>
      <c r="Q25" s="160"/>
      <c r="R25" s="160"/>
      <c r="S25" s="160"/>
      <c r="T25" s="173"/>
      <c r="U25"/>
      <c r="V25" s="172"/>
      <c r="W25" s="163"/>
      <c r="X25" s="173"/>
      <c r="Y25" s="173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</row>
    <row r="26" spans="1:53" s="10" customFormat="1" ht="12.75">
      <c r="A26" s="192">
        <v>6</v>
      </c>
      <c r="B26" s="193">
        <f>VLOOKUP(A26,Gleichz!$A$1:$B$60,2)</f>
        <v>3</v>
      </c>
      <c r="C26" s="193">
        <f t="shared" si="2"/>
        <v>30</v>
      </c>
      <c r="D26" s="194">
        <f t="shared" si="3"/>
        <v>1.7196904557179706</v>
      </c>
      <c r="E26" s="195" t="str">
        <f t="shared" si="9"/>
        <v>Top S 30/7</v>
      </c>
      <c r="F26" s="196">
        <f t="shared" si="4"/>
        <v>32</v>
      </c>
      <c r="G26" s="197"/>
      <c r="H26" s="197"/>
      <c r="I26" s="197">
        <f t="shared" si="0"/>
        <v>575.026529812705</v>
      </c>
      <c r="J26" s="197">
        <f t="shared" si="5"/>
        <v>0.644883920894239</v>
      </c>
      <c r="K26" s="197">
        <f t="shared" si="6"/>
        <v>750</v>
      </c>
      <c r="L26" s="197">
        <f t="shared" si="7"/>
        <v>3.5200165699577637</v>
      </c>
      <c r="M26" s="196">
        <f t="shared" si="1"/>
        <v>40</v>
      </c>
      <c r="N26" s="198" t="str">
        <f t="shared" si="8"/>
        <v>Stratos 30 1/8</v>
      </c>
      <c r="O26" s="160"/>
      <c r="P26" s="160"/>
      <c r="Q26" s="160"/>
      <c r="R26" s="160"/>
      <c r="S26" s="160"/>
      <c r="T26" s="173"/>
      <c r="U26"/>
      <c r="V26" s="172"/>
      <c r="W26" s="163"/>
      <c r="X26" s="173"/>
      <c r="Y26" s="173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</row>
    <row r="27" spans="1:53" s="10" customFormat="1" ht="12.75">
      <c r="A27" s="192">
        <v>7</v>
      </c>
      <c r="B27" s="193">
        <f>VLOOKUP(A27,Gleichz!$A$1:$B$60,2)</f>
        <v>3</v>
      </c>
      <c r="C27" s="193">
        <f t="shared" si="2"/>
        <v>35</v>
      </c>
      <c r="D27" s="194">
        <f t="shared" si="3"/>
        <v>2.0063055316709657</v>
      </c>
      <c r="E27" s="195" t="str">
        <f t="shared" si="9"/>
        <v>Top S 30/7</v>
      </c>
      <c r="F27" s="196">
        <f t="shared" si="4"/>
        <v>32</v>
      </c>
      <c r="G27" s="197"/>
      <c r="H27" s="197"/>
      <c r="I27" s="197">
        <f t="shared" si="0"/>
        <v>575.026529812705</v>
      </c>
      <c r="J27" s="197">
        <f t="shared" si="5"/>
        <v>0.8598452278589853</v>
      </c>
      <c r="K27" s="197">
        <f t="shared" si="6"/>
        <v>750</v>
      </c>
      <c r="L27" s="197">
        <f t="shared" si="7"/>
        <v>3.7349778769225104</v>
      </c>
      <c r="M27" s="196">
        <f t="shared" si="1"/>
        <v>40</v>
      </c>
      <c r="N27" s="198" t="str">
        <f t="shared" si="8"/>
        <v>Stratos 30 1/8</v>
      </c>
      <c r="O27" s="160"/>
      <c r="P27" s="160"/>
      <c r="Q27" s="160"/>
      <c r="R27" s="160"/>
      <c r="S27" s="160"/>
      <c r="T27" s="173"/>
      <c r="U27"/>
      <c r="V27" s="172"/>
      <c r="W27" s="163"/>
      <c r="X27" s="173"/>
      <c r="Y27" s="173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</row>
    <row r="28" spans="1:53" s="10" customFormat="1" ht="12.75">
      <c r="A28" s="192">
        <v>8</v>
      </c>
      <c r="B28" s="193">
        <f>VLOOKUP(A28,Gleichz!$A$1:$B$60,2)</f>
        <v>3</v>
      </c>
      <c r="C28" s="193">
        <f t="shared" si="2"/>
        <v>40</v>
      </c>
      <c r="D28" s="194">
        <f t="shared" si="3"/>
        <v>2.292920607623961</v>
      </c>
      <c r="E28" s="195" t="str">
        <f t="shared" si="9"/>
        <v>Top S 30/7</v>
      </c>
      <c r="F28" s="196">
        <f t="shared" si="4"/>
        <v>32</v>
      </c>
      <c r="G28" s="197"/>
      <c r="H28" s="197"/>
      <c r="I28" s="197">
        <f t="shared" si="0"/>
        <v>575.026529812705</v>
      </c>
      <c r="J28" s="197">
        <f t="shared" si="5"/>
        <v>1.0748065348237317</v>
      </c>
      <c r="K28" s="197">
        <f t="shared" si="6"/>
        <v>750</v>
      </c>
      <c r="L28" s="197">
        <f t="shared" si="7"/>
        <v>3.9499391838872566</v>
      </c>
      <c r="M28" s="196">
        <f t="shared" si="1"/>
        <v>40</v>
      </c>
      <c r="N28" s="198" t="str">
        <f t="shared" si="8"/>
        <v>Stratos 30 1/8</v>
      </c>
      <c r="O28" s="160"/>
      <c r="P28" s="160"/>
      <c r="Q28" s="160"/>
      <c r="R28" s="160"/>
      <c r="S28" s="160"/>
      <c r="T28" s="173"/>
      <c r="U28"/>
      <c r="V28" s="172"/>
      <c r="W28" s="163"/>
      <c r="X28" s="173"/>
      <c r="Y28" s="173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</row>
    <row r="29" spans="1:53" s="10" customFormat="1" ht="12.75">
      <c r="A29" s="192">
        <v>9</v>
      </c>
      <c r="B29" s="193">
        <f>VLOOKUP(A29,Gleichz!$A$1:$B$60,2)</f>
        <v>3</v>
      </c>
      <c r="C29" s="193">
        <f t="shared" si="2"/>
        <v>45</v>
      </c>
      <c r="D29" s="194">
        <f t="shared" si="3"/>
        <v>2.5795356835769563</v>
      </c>
      <c r="E29" s="195" t="str">
        <f t="shared" si="9"/>
        <v>Top S 30/7</v>
      </c>
      <c r="F29" s="196">
        <f t="shared" si="4"/>
        <v>32</v>
      </c>
      <c r="G29" s="197"/>
      <c r="H29" s="197"/>
      <c r="I29" s="197">
        <f t="shared" si="0"/>
        <v>575.026529812705</v>
      </c>
      <c r="J29" s="197">
        <f t="shared" si="5"/>
        <v>1.289767841788478</v>
      </c>
      <c r="K29" s="197">
        <f t="shared" si="6"/>
        <v>750</v>
      </c>
      <c r="L29" s="197">
        <f t="shared" si="7"/>
        <v>4.164900490852003</v>
      </c>
      <c r="M29" s="196">
        <f t="shared" si="1"/>
        <v>50</v>
      </c>
      <c r="N29" s="198" t="str">
        <f t="shared" si="8"/>
        <v>Stratos 30 1/8</v>
      </c>
      <c r="O29" s="160"/>
      <c r="P29" s="160"/>
      <c r="Q29" s="160"/>
      <c r="R29" s="160"/>
      <c r="S29" s="160"/>
      <c r="T29" s="173"/>
      <c r="U29"/>
      <c r="V29" s="172"/>
      <c r="W29" s="163"/>
      <c r="X29" s="173"/>
      <c r="Y29" s="173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</row>
    <row r="30" spans="1:53" s="10" customFormat="1" ht="12.75">
      <c r="A30" s="192">
        <v>10</v>
      </c>
      <c r="B30" s="193">
        <f>VLOOKUP(A30,Gleichz!$A$1:$B$60,2)</f>
        <v>3</v>
      </c>
      <c r="C30" s="193">
        <f t="shared" si="2"/>
        <v>50</v>
      </c>
      <c r="D30" s="194">
        <f t="shared" si="3"/>
        <v>2.866150759529951</v>
      </c>
      <c r="E30" s="195" t="str">
        <f t="shared" si="9"/>
        <v>Top S 30/7</v>
      </c>
      <c r="F30" s="196">
        <f t="shared" si="4"/>
        <v>32</v>
      </c>
      <c r="G30" s="197"/>
      <c r="H30" s="197"/>
      <c r="I30" s="197">
        <f t="shared" si="0"/>
        <v>575.026529812705</v>
      </c>
      <c r="J30" s="197">
        <f t="shared" si="5"/>
        <v>1.5047291487532244</v>
      </c>
      <c r="K30" s="197">
        <f t="shared" si="6"/>
        <v>750</v>
      </c>
      <c r="L30" s="197">
        <f t="shared" si="7"/>
        <v>4.37986179781675</v>
      </c>
      <c r="M30" s="196">
        <f t="shared" si="1"/>
        <v>50</v>
      </c>
      <c r="N30" s="198" t="str">
        <f t="shared" si="8"/>
        <v>Stratos 30 1/8</v>
      </c>
      <c r="O30" s="160"/>
      <c r="P30" s="160"/>
      <c r="Q30" s="160"/>
      <c r="R30" s="160"/>
      <c r="S30" s="160"/>
      <c r="T30" s="173"/>
      <c r="U30"/>
      <c r="V30" s="172"/>
      <c r="W30" s="163"/>
      <c r="X30" s="173"/>
      <c r="Y30" s="173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</row>
    <row r="31" spans="1:53" s="10" customFormat="1" ht="12.75">
      <c r="A31" s="192">
        <v>11</v>
      </c>
      <c r="B31" s="193">
        <f>VLOOKUP(A31,Gleichz!$A$1:$B$60,2)</f>
        <v>3</v>
      </c>
      <c r="C31" s="193">
        <f t="shared" si="2"/>
        <v>55</v>
      </c>
      <c r="D31" s="194">
        <f t="shared" si="3"/>
        <v>3.1527658354829464</v>
      </c>
      <c r="E31" s="195" t="str">
        <f t="shared" si="9"/>
        <v>Top S 30/7</v>
      </c>
      <c r="F31" s="196">
        <f t="shared" si="4"/>
        <v>40</v>
      </c>
      <c r="G31" s="197"/>
      <c r="H31" s="197"/>
      <c r="I31" s="197">
        <f t="shared" si="0"/>
        <v>575.026529812705</v>
      </c>
      <c r="J31" s="197">
        <f t="shared" si="5"/>
        <v>1.7196904557179706</v>
      </c>
      <c r="K31" s="197">
        <f t="shared" si="6"/>
        <v>750</v>
      </c>
      <c r="L31" s="197">
        <f t="shared" si="7"/>
        <v>4.594823104781495</v>
      </c>
      <c r="M31" s="196">
        <f t="shared" si="1"/>
        <v>50</v>
      </c>
      <c r="N31" s="198" t="str">
        <f t="shared" si="8"/>
        <v>Stratos 30 1/8</v>
      </c>
      <c r="O31" s="173"/>
      <c r="P31" s="175"/>
      <c r="Q31" s="173"/>
      <c r="R31" s="173"/>
      <c r="S31" s="175"/>
      <c r="T31" s="173"/>
      <c r="U31"/>
      <c r="V31" s="173"/>
      <c r="W31" s="173"/>
      <c r="X31" s="173"/>
      <c r="Y31" s="173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</row>
    <row r="32" spans="1:54" s="10" customFormat="1" ht="12.75">
      <c r="A32" s="192">
        <v>12</v>
      </c>
      <c r="B32" s="193">
        <f>VLOOKUP(A32,Gleichz!$A$1:$B$60,2)</f>
        <v>3</v>
      </c>
      <c r="C32" s="193">
        <f t="shared" si="2"/>
        <v>60</v>
      </c>
      <c r="D32" s="194">
        <f t="shared" si="3"/>
        <v>3.4393809114359413</v>
      </c>
      <c r="E32" s="195" t="str">
        <f t="shared" si="9"/>
        <v>Top S 30/7</v>
      </c>
      <c r="F32" s="196">
        <f t="shared" si="4"/>
        <v>40</v>
      </c>
      <c r="G32" s="197"/>
      <c r="H32" s="197"/>
      <c r="I32" s="197">
        <f t="shared" si="0"/>
        <v>575.026529812705</v>
      </c>
      <c r="J32" s="197">
        <f t="shared" si="5"/>
        <v>1.9346517626827169</v>
      </c>
      <c r="K32" s="197">
        <f t="shared" si="6"/>
        <v>750</v>
      </c>
      <c r="L32" s="197">
        <f t="shared" si="7"/>
        <v>4.809784411746242</v>
      </c>
      <c r="M32" s="196">
        <f t="shared" si="1"/>
        <v>50</v>
      </c>
      <c r="N32" s="198" t="str">
        <f t="shared" si="8"/>
        <v>Stratos 30 1/8</v>
      </c>
      <c r="O32" s="174"/>
      <c r="P32" s="174"/>
      <c r="Q32" s="176"/>
      <c r="R32" s="174"/>
      <c r="S32" s="174"/>
      <c r="T32" s="173"/>
      <c r="U32"/>
      <c r="V32" s="173"/>
      <c r="W32" s="173"/>
      <c r="X32" s="173"/>
      <c r="Y32" s="173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</row>
    <row r="33" spans="1:54" s="172" customFormat="1" ht="12.75">
      <c r="A33" s="199">
        <v>13</v>
      </c>
      <c r="B33" s="200">
        <f>VLOOKUP(A33,Gleichz!$A$1:$B$60,2)</f>
        <v>3</v>
      </c>
      <c r="C33" s="200">
        <f t="shared" si="2"/>
        <v>65</v>
      </c>
      <c r="D33" s="194">
        <f t="shared" si="3"/>
        <v>3.7259959873889366</v>
      </c>
      <c r="E33" s="198" t="str">
        <f t="shared" si="9"/>
        <v>Top S 30/7</v>
      </c>
      <c r="F33" s="196">
        <f t="shared" si="4"/>
        <v>40</v>
      </c>
      <c r="G33" s="201"/>
      <c r="H33" s="201"/>
      <c r="I33" s="201">
        <f t="shared" si="0"/>
        <v>575.026529812705</v>
      </c>
      <c r="J33" s="201">
        <f t="shared" si="5"/>
        <v>2.1496130696474633</v>
      </c>
      <c r="K33" s="201">
        <f t="shared" si="6"/>
        <v>750</v>
      </c>
      <c r="L33" s="201">
        <f t="shared" si="7"/>
        <v>5.024745718710989</v>
      </c>
      <c r="M33" s="202">
        <f t="shared" si="1"/>
        <v>50</v>
      </c>
      <c r="N33" s="198" t="str">
        <f t="shared" si="8"/>
        <v>Stratos 30 1/8</v>
      </c>
      <c r="O33" s="173"/>
      <c r="P33" s="173"/>
      <c r="Q33" s="175"/>
      <c r="R33" s="173"/>
      <c r="S33" s="173"/>
      <c r="T33" s="173"/>
      <c r="U3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</row>
    <row r="34" spans="1:54" s="10" customFormat="1" ht="12.75">
      <c r="A34" s="192">
        <v>14</v>
      </c>
      <c r="B34" s="193">
        <f>VLOOKUP(A34,Gleichz!$A$1:$B$60,2)</f>
        <v>3</v>
      </c>
      <c r="C34" s="193">
        <f t="shared" si="2"/>
        <v>70</v>
      </c>
      <c r="D34" s="194">
        <f t="shared" si="3"/>
        <v>4.012611063341931</v>
      </c>
      <c r="E34" s="195" t="str">
        <f t="shared" si="9"/>
        <v>Top S 30/7</v>
      </c>
      <c r="F34" s="196">
        <f t="shared" si="4"/>
        <v>50</v>
      </c>
      <c r="G34" s="197"/>
      <c r="H34" s="197"/>
      <c r="I34" s="197">
        <f t="shared" si="0"/>
        <v>575.026529812705</v>
      </c>
      <c r="J34" s="197">
        <f t="shared" si="5"/>
        <v>2.3645743766122096</v>
      </c>
      <c r="K34" s="197">
        <f t="shared" si="6"/>
        <v>750</v>
      </c>
      <c r="L34" s="197">
        <f t="shared" si="7"/>
        <v>5.2397070256757345</v>
      </c>
      <c r="M34" s="196">
        <f t="shared" si="1"/>
        <v>50</v>
      </c>
      <c r="N34" s="198" t="str">
        <f t="shared" si="8"/>
        <v>Stratos 30 1/8</v>
      </c>
      <c r="O34" s="174"/>
      <c r="P34" s="174"/>
      <c r="Q34" s="176"/>
      <c r="R34" s="174"/>
      <c r="S34" s="174"/>
      <c r="T34" s="173"/>
      <c r="U34"/>
      <c r="V34" s="173"/>
      <c r="W34" s="173"/>
      <c r="X34" s="173"/>
      <c r="Y34" s="173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</row>
    <row r="35" spans="1:54" s="10" customFormat="1" ht="12.75">
      <c r="A35" s="192">
        <v>15</v>
      </c>
      <c r="B35" s="193">
        <f>VLOOKUP(A35,Gleichz!$A$1:$B$60,2)</f>
        <v>4</v>
      </c>
      <c r="C35" s="193">
        <f t="shared" si="2"/>
        <v>75</v>
      </c>
      <c r="D35" s="194">
        <f t="shared" si="3"/>
        <v>4.299226139294927</v>
      </c>
      <c r="E35" s="195" t="str">
        <f t="shared" si="9"/>
        <v>Top S 30/7</v>
      </c>
      <c r="F35" s="196">
        <f t="shared" si="4"/>
        <v>50</v>
      </c>
      <c r="G35" s="197"/>
      <c r="H35" s="197"/>
      <c r="I35" s="197">
        <f t="shared" si="0"/>
        <v>766.7020397502733</v>
      </c>
      <c r="J35" s="197">
        <f t="shared" si="5"/>
        <v>2.3645743766122096</v>
      </c>
      <c r="K35" s="197">
        <f t="shared" si="6"/>
        <v>1000</v>
      </c>
      <c r="L35" s="197">
        <f t="shared" si="7"/>
        <v>6.198084575363577</v>
      </c>
      <c r="M35" s="196">
        <f t="shared" si="1"/>
        <v>50</v>
      </c>
      <c r="N35" s="198" t="str">
        <f t="shared" si="8"/>
        <v>Stratos 40 1/12</v>
      </c>
      <c r="O35" s="174"/>
      <c r="P35" s="174"/>
      <c r="Q35" s="176"/>
      <c r="R35" s="174"/>
      <c r="S35" s="174"/>
      <c r="T35" s="173"/>
      <c r="U35"/>
      <c r="V35" s="173"/>
      <c r="W35" s="173"/>
      <c r="X35" s="173"/>
      <c r="Y35" s="173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</row>
    <row r="36" spans="1:54" s="10" customFormat="1" ht="12.75">
      <c r="A36" s="192">
        <v>16</v>
      </c>
      <c r="B36" s="193">
        <f>VLOOKUP(A36,Gleichz!$A$1:$B$60,2)</f>
        <v>4</v>
      </c>
      <c r="C36" s="193">
        <f t="shared" si="2"/>
        <v>80</v>
      </c>
      <c r="D36" s="194">
        <f t="shared" si="3"/>
        <v>4.585841215247922</v>
      </c>
      <c r="E36" s="195" t="str">
        <f t="shared" si="9"/>
        <v>Top S 30/7</v>
      </c>
      <c r="F36" s="196">
        <f t="shared" si="4"/>
        <v>50</v>
      </c>
      <c r="G36" s="197"/>
      <c r="H36" s="197"/>
      <c r="I36" s="197">
        <f t="shared" si="0"/>
        <v>766.7020397502733</v>
      </c>
      <c r="J36" s="197">
        <f t="shared" si="5"/>
        <v>2.579535683576956</v>
      </c>
      <c r="K36" s="197">
        <f t="shared" si="6"/>
        <v>1000</v>
      </c>
      <c r="L36" s="197">
        <f t="shared" si="7"/>
        <v>6.413045882328323</v>
      </c>
      <c r="M36" s="196">
        <f t="shared" si="1"/>
        <v>50</v>
      </c>
      <c r="N36" s="198" t="str">
        <f t="shared" si="8"/>
        <v>Stratos 40 1/12</v>
      </c>
      <c r="O36" s="174"/>
      <c r="P36" s="174"/>
      <c r="Q36" s="176"/>
      <c r="R36" s="174"/>
      <c r="S36" s="174"/>
      <c r="T36" s="173"/>
      <c r="U36"/>
      <c r="V36" s="173"/>
      <c r="W36" s="173"/>
      <c r="X36" s="173"/>
      <c r="Y36" s="173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</row>
    <row r="37" spans="1:54" s="10" customFormat="1" ht="12.75">
      <c r="A37" s="192">
        <v>17</v>
      </c>
      <c r="B37" s="193">
        <f>VLOOKUP(A37,Gleichz!$A$1:$B$60,2)</f>
        <v>4</v>
      </c>
      <c r="C37" s="193">
        <f t="shared" si="2"/>
        <v>85</v>
      </c>
      <c r="D37" s="194">
        <f t="shared" si="3"/>
        <v>4.872456291200917</v>
      </c>
      <c r="E37" s="195" t="str">
        <f t="shared" si="9"/>
        <v>Top S 30/7</v>
      </c>
      <c r="F37" s="196">
        <f t="shared" si="4"/>
        <v>50</v>
      </c>
      <c r="G37" s="197"/>
      <c r="H37" s="197"/>
      <c r="I37" s="197">
        <f t="shared" si="0"/>
        <v>766.7020397502733</v>
      </c>
      <c r="J37" s="197">
        <f t="shared" si="5"/>
        <v>2.794496990541702</v>
      </c>
      <c r="K37" s="197">
        <f t="shared" si="6"/>
        <v>1000</v>
      </c>
      <c r="L37" s="197">
        <f t="shared" si="7"/>
        <v>6.6280071892930685</v>
      </c>
      <c r="M37" s="196">
        <f t="shared" si="1"/>
        <v>50</v>
      </c>
      <c r="N37" s="198" t="str">
        <f t="shared" si="8"/>
        <v>Stratos 40 1/12</v>
      </c>
      <c r="O37" s="174"/>
      <c r="P37" s="174"/>
      <c r="Q37" s="176"/>
      <c r="R37" s="174"/>
      <c r="S37" s="174"/>
      <c r="T37" s="173"/>
      <c r="U37"/>
      <c r="V37" s="173"/>
      <c r="W37" s="173"/>
      <c r="X37" s="173"/>
      <c r="Y37" s="173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</row>
    <row r="38" spans="1:54" s="10" customFormat="1" ht="12.75">
      <c r="A38" s="192">
        <v>18</v>
      </c>
      <c r="B38" s="193">
        <f>VLOOKUP(A38,Gleichz!$A$1:$B$60,2)</f>
        <v>4</v>
      </c>
      <c r="C38" s="193">
        <f t="shared" si="2"/>
        <v>90</v>
      </c>
      <c r="D38" s="194">
        <f t="shared" si="3"/>
        <v>5.159071367153913</v>
      </c>
      <c r="E38" s="195" t="str">
        <f t="shared" si="9"/>
        <v>Top S 30/7</v>
      </c>
      <c r="F38" s="196">
        <f t="shared" si="4"/>
        <v>50</v>
      </c>
      <c r="G38" s="197"/>
      <c r="H38" s="197"/>
      <c r="I38" s="197">
        <f t="shared" si="0"/>
        <v>766.7020397502733</v>
      </c>
      <c r="J38" s="197">
        <f t="shared" si="5"/>
        <v>3.0094582975064488</v>
      </c>
      <c r="K38" s="197">
        <f t="shared" si="6"/>
        <v>1000</v>
      </c>
      <c r="L38" s="197">
        <f t="shared" si="7"/>
        <v>6.842968496257816</v>
      </c>
      <c r="M38" s="196">
        <f t="shared" si="1"/>
        <v>65</v>
      </c>
      <c r="N38" s="198" t="str">
        <f t="shared" si="8"/>
        <v>Stratos 40 1/12</v>
      </c>
      <c r="O38" s="174"/>
      <c r="P38" s="174"/>
      <c r="Q38" s="176"/>
      <c r="R38" s="174"/>
      <c r="S38" s="174"/>
      <c r="T38" s="173"/>
      <c r="U38"/>
      <c r="V38" s="173"/>
      <c r="W38" s="173"/>
      <c r="X38" s="173"/>
      <c r="Y38" s="173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</row>
    <row r="39" spans="1:54" s="10" customFormat="1" ht="12.75">
      <c r="A39" s="192">
        <v>19</v>
      </c>
      <c r="B39" s="193">
        <f>VLOOKUP(A39,Gleichz!$A$1:$B$60,2)</f>
        <v>4</v>
      </c>
      <c r="C39" s="193">
        <f t="shared" si="2"/>
        <v>95</v>
      </c>
      <c r="D39" s="194">
        <f t="shared" si="3"/>
        <v>5.445686443106907</v>
      </c>
      <c r="E39" s="195" t="str">
        <f t="shared" si="9"/>
        <v>Top S 30/7</v>
      </c>
      <c r="F39" s="196">
        <f t="shared" si="4"/>
        <v>50</v>
      </c>
      <c r="G39" s="197"/>
      <c r="H39" s="197"/>
      <c r="I39" s="197">
        <f t="shared" si="0"/>
        <v>766.7020397502733</v>
      </c>
      <c r="J39" s="197">
        <f t="shared" si="5"/>
        <v>3.224419604471195</v>
      </c>
      <c r="K39" s="197">
        <f t="shared" si="6"/>
        <v>1000</v>
      </c>
      <c r="L39" s="197">
        <f t="shared" si="7"/>
        <v>7.057929803222562</v>
      </c>
      <c r="M39" s="196">
        <f t="shared" si="1"/>
        <v>65</v>
      </c>
      <c r="N39" s="198" t="str">
        <f t="shared" si="8"/>
        <v>Stratos 40 1/12</v>
      </c>
      <c r="O39" s="174"/>
      <c r="P39" s="174"/>
      <c r="Q39" s="176"/>
      <c r="R39" s="174"/>
      <c r="S39" s="174"/>
      <c r="T39" s="174"/>
      <c r="U39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</row>
    <row r="40" spans="1:54" s="10" customFormat="1" ht="12.75">
      <c r="A40" s="192">
        <v>20</v>
      </c>
      <c r="B40" s="193">
        <f>VLOOKUP(A40,Gleichz!$A$1:$B$60,2)</f>
        <v>4</v>
      </c>
      <c r="C40" s="193">
        <f t="shared" si="2"/>
        <v>100</v>
      </c>
      <c r="D40" s="194">
        <f t="shared" si="3"/>
        <v>5.732301519059902</v>
      </c>
      <c r="E40" s="195" t="str">
        <f t="shared" si="9"/>
        <v>Top S 30/7</v>
      </c>
      <c r="F40" s="196">
        <f t="shared" si="4"/>
        <v>50</v>
      </c>
      <c r="G40" s="197"/>
      <c r="H40" s="197"/>
      <c r="I40" s="197">
        <f t="shared" si="0"/>
        <v>766.7020397502733</v>
      </c>
      <c r="J40" s="197">
        <f t="shared" si="5"/>
        <v>3.4393809114359413</v>
      </c>
      <c r="K40" s="197">
        <f t="shared" si="6"/>
        <v>1000</v>
      </c>
      <c r="L40" s="197">
        <f t="shared" si="7"/>
        <v>7.272891110187308</v>
      </c>
      <c r="M40" s="196">
        <f t="shared" si="1"/>
        <v>65</v>
      </c>
      <c r="N40" s="198" t="str">
        <f t="shared" si="8"/>
        <v>Stratos 40 1/12</v>
      </c>
      <c r="O40" s="174"/>
      <c r="P40" s="174"/>
      <c r="Q40" s="176"/>
      <c r="R40" s="174"/>
      <c r="S40" s="174"/>
      <c r="T40" s="174"/>
      <c r="U40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</row>
    <row r="41" spans="1:54" s="10" customFormat="1" ht="12.75">
      <c r="A41" s="192">
        <v>21</v>
      </c>
      <c r="B41" s="193">
        <f>VLOOKUP(A41,Gleichz!$A$1:$B$60,2)</f>
        <v>4</v>
      </c>
      <c r="C41" s="193">
        <f t="shared" si="2"/>
        <v>105</v>
      </c>
      <c r="D41" s="194">
        <f t="shared" si="3"/>
        <v>6.0189165950128976</v>
      </c>
      <c r="E41" s="195" t="str">
        <f t="shared" si="9"/>
        <v>Top S 40/7</v>
      </c>
      <c r="F41" s="196">
        <f t="shared" si="4"/>
        <v>50</v>
      </c>
      <c r="G41" s="197"/>
      <c r="H41" s="197"/>
      <c r="I41" s="197">
        <f t="shared" si="0"/>
        <v>766.7020397502733</v>
      </c>
      <c r="J41" s="197">
        <f t="shared" si="5"/>
        <v>3.6543422184006875</v>
      </c>
      <c r="K41" s="197">
        <f t="shared" si="6"/>
        <v>1000</v>
      </c>
      <c r="L41" s="197">
        <f t="shared" si="7"/>
        <v>7.487852417152054</v>
      </c>
      <c r="M41" s="196">
        <f t="shared" si="1"/>
        <v>65</v>
      </c>
      <c r="N41" s="198" t="str">
        <f t="shared" si="8"/>
        <v>Stratos 40 1/12</v>
      </c>
      <c r="O41" s="174"/>
      <c r="P41" s="174"/>
      <c r="Q41" s="176"/>
      <c r="R41" s="174"/>
      <c r="S41" s="174"/>
      <c r="T41" s="174"/>
      <c r="U41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</row>
    <row r="42" spans="1:54" s="10" customFormat="1" ht="12.75">
      <c r="A42" s="192">
        <v>22</v>
      </c>
      <c r="B42" s="193">
        <f>VLOOKUP(A42,Gleichz!$A$1:$B$60,2)</f>
        <v>4</v>
      </c>
      <c r="C42" s="193">
        <f t="shared" si="2"/>
        <v>110</v>
      </c>
      <c r="D42" s="194">
        <f t="shared" si="3"/>
        <v>6.305531670965893</v>
      </c>
      <c r="E42" s="195" t="str">
        <f t="shared" si="9"/>
        <v>Top S 40/7</v>
      </c>
      <c r="F42" s="196">
        <f t="shared" si="4"/>
        <v>50</v>
      </c>
      <c r="G42" s="197"/>
      <c r="H42" s="197"/>
      <c r="I42" s="197">
        <f t="shared" si="0"/>
        <v>766.7020397502733</v>
      </c>
      <c r="J42" s="197">
        <f t="shared" si="5"/>
        <v>3.8693035253654338</v>
      </c>
      <c r="K42" s="197">
        <f t="shared" si="6"/>
        <v>1000</v>
      </c>
      <c r="L42" s="197">
        <f t="shared" si="7"/>
        <v>7.702813724116801</v>
      </c>
      <c r="M42" s="196">
        <f t="shared" si="1"/>
        <v>65</v>
      </c>
      <c r="N42" s="198" t="str">
        <f t="shared" si="8"/>
        <v>Stratos 40 1/12</v>
      </c>
      <c r="O42" s="174"/>
      <c r="P42" s="174"/>
      <c r="Q42" s="176"/>
      <c r="R42" s="174"/>
      <c r="S42" s="174"/>
      <c r="T42" s="174"/>
      <c r="U42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</row>
    <row r="43" spans="1:54" s="10" customFormat="1" ht="12.75">
      <c r="A43" s="192">
        <v>23</v>
      </c>
      <c r="B43" s="193">
        <f>VLOOKUP(A43,Gleichz!$A$1:$B$60,2)</f>
        <v>4</v>
      </c>
      <c r="C43" s="193">
        <f t="shared" si="2"/>
        <v>115</v>
      </c>
      <c r="D43" s="194">
        <f t="shared" si="3"/>
        <v>6.592146746918888</v>
      </c>
      <c r="E43" s="195" t="str">
        <f t="shared" si="9"/>
        <v>Top S 40/7</v>
      </c>
      <c r="F43" s="196">
        <f t="shared" si="4"/>
        <v>65</v>
      </c>
      <c r="G43" s="197"/>
      <c r="H43" s="197"/>
      <c r="I43" s="197">
        <f t="shared" si="0"/>
        <v>766.7020397502733</v>
      </c>
      <c r="J43" s="197">
        <f t="shared" si="5"/>
        <v>4.08426483233018</v>
      </c>
      <c r="K43" s="197">
        <f t="shared" si="6"/>
        <v>1000</v>
      </c>
      <c r="L43" s="197">
        <f t="shared" si="7"/>
        <v>7.917775031081547</v>
      </c>
      <c r="M43" s="196">
        <f t="shared" si="1"/>
        <v>65</v>
      </c>
      <c r="N43" s="198" t="str">
        <f t="shared" si="8"/>
        <v>Stratos 40 1/12</v>
      </c>
      <c r="O43" s="174"/>
      <c r="P43" s="174"/>
      <c r="Q43" s="176"/>
      <c r="R43" s="174"/>
      <c r="S43" s="174"/>
      <c r="T43" s="174"/>
      <c r="U43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</row>
    <row r="44" spans="1:54" s="10" customFormat="1" ht="12.75">
      <c r="A44" s="192">
        <v>24</v>
      </c>
      <c r="B44" s="193">
        <f>VLOOKUP(A44,Gleichz!$A$1:$B$60,2)</f>
        <v>4</v>
      </c>
      <c r="C44" s="193">
        <f t="shared" si="2"/>
        <v>120</v>
      </c>
      <c r="D44" s="194">
        <f t="shared" si="3"/>
        <v>6.8787618228718825</v>
      </c>
      <c r="E44" s="195" t="str">
        <f t="shared" si="9"/>
        <v>Top S 40/7</v>
      </c>
      <c r="F44" s="196">
        <f t="shared" si="4"/>
        <v>65</v>
      </c>
      <c r="G44" s="197"/>
      <c r="H44" s="197"/>
      <c r="I44" s="197">
        <f t="shared" si="0"/>
        <v>766.7020397502733</v>
      </c>
      <c r="J44" s="197">
        <f t="shared" si="5"/>
        <v>4.299226139294927</v>
      </c>
      <c r="K44" s="197">
        <f t="shared" si="6"/>
        <v>1000</v>
      </c>
      <c r="L44" s="197">
        <f t="shared" si="7"/>
        <v>8.132736338046293</v>
      </c>
      <c r="M44" s="196">
        <f t="shared" si="1"/>
        <v>65</v>
      </c>
      <c r="N44" s="198" t="str">
        <f t="shared" si="8"/>
        <v>Stratos 40 1/12</v>
      </c>
      <c r="O44" s="174"/>
      <c r="P44" s="174"/>
      <c r="Q44" s="176"/>
      <c r="R44" s="174"/>
      <c r="S44" s="174"/>
      <c r="T44" s="174"/>
      <c r="U4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</row>
    <row r="45" spans="1:54" s="10" customFormat="1" ht="12.75">
      <c r="A45" s="192">
        <v>25</v>
      </c>
      <c r="B45" s="193">
        <f>VLOOKUP(A45,Gleichz!$A$1:$B$60,2)</f>
        <v>4</v>
      </c>
      <c r="C45" s="193">
        <f t="shared" si="2"/>
        <v>125</v>
      </c>
      <c r="D45" s="194">
        <f t="shared" si="3"/>
        <v>7.165376898824878</v>
      </c>
      <c r="E45" s="195" t="str">
        <f t="shared" si="9"/>
        <v>Top S 40/7</v>
      </c>
      <c r="F45" s="196">
        <f t="shared" si="4"/>
        <v>65</v>
      </c>
      <c r="G45" s="197"/>
      <c r="H45" s="197"/>
      <c r="I45" s="197">
        <f t="shared" si="0"/>
        <v>766.7020397502733</v>
      </c>
      <c r="J45" s="197">
        <f t="shared" si="5"/>
        <v>4.514187446259673</v>
      </c>
      <c r="K45" s="197">
        <f t="shared" si="6"/>
        <v>1000</v>
      </c>
      <c r="L45" s="197">
        <f t="shared" si="7"/>
        <v>8.34769764501104</v>
      </c>
      <c r="M45" s="196">
        <f t="shared" si="1"/>
        <v>65</v>
      </c>
      <c r="N45" s="198" t="str">
        <f t="shared" si="8"/>
        <v>Stratos 40 1/12</v>
      </c>
      <c r="O45" s="174"/>
      <c r="P45" s="174"/>
      <c r="Q45" s="176"/>
      <c r="R45" s="174"/>
      <c r="S45" s="174"/>
      <c r="T45" s="174"/>
      <c r="U45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</row>
    <row r="46" spans="1:54" s="10" customFormat="1" ht="12.75">
      <c r="A46" s="192">
        <v>26</v>
      </c>
      <c r="B46" s="193">
        <f>VLOOKUP(A46,Gleichz!$A$1:$B$60,2)</f>
        <v>4</v>
      </c>
      <c r="C46" s="193">
        <f t="shared" si="2"/>
        <v>130</v>
      </c>
      <c r="D46" s="194">
        <f t="shared" si="3"/>
        <v>7.451991974777873</v>
      </c>
      <c r="E46" s="195" t="str">
        <f t="shared" si="9"/>
        <v>Top S 40/7</v>
      </c>
      <c r="F46" s="196">
        <f t="shared" si="4"/>
        <v>65</v>
      </c>
      <c r="G46" s="197"/>
      <c r="H46" s="197"/>
      <c r="I46" s="197">
        <f t="shared" si="0"/>
        <v>766.7020397502733</v>
      </c>
      <c r="J46" s="197">
        <f t="shared" si="5"/>
        <v>4.729148753224419</v>
      </c>
      <c r="K46" s="197">
        <f t="shared" si="6"/>
        <v>1000</v>
      </c>
      <c r="L46" s="197">
        <f t="shared" si="7"/>
        <v>8.562658951975786</v>
      </c>
      <c r="M46" s="196">
        <f t="shared" si="1"/>
        <v>65</v>
      </c>
      <c r="N46" s="198" t="str">
        <f t="shared" si="8"/>
        <v>Stratos 40 1/12</v>
      </c>
      <c r="O46" s="174"/>
      <c r="P46" s="174"/>
      <c r="Q46" s="176"/>
      <c r="R46" s="174"/>
      <c r="S46" s="174"/>
      <c r="T46" s="174"/>
      <c r="U46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</row>
    <row r="47" spans="1:54" s="10" customFormat="1" ht="12.75">
      <c r="A47" s="192">
        <v>27</v>
      </c>
      <c r="B47" s="193">
        <f>VLOOKUP(A47,Gleichz!$A$1:$B$60,2)</f>
        <v>4</v>
      </c>
      <c r="C47" s="193">
        <f t="shared" si="2"/>
        <v>135</v>
      </c>
      <c r="D47" s="194">
        <f t="shared" si="3"/>
        <v>7.738607050730868</v>
      </c>
      <c r="E47" s="195" t="str">
        <f t="shared" si="9"/>
        <v>Top S 40/7</v>
      </c>
      <c r="F47" s="196">
        <f t="shared" si="4"/>
        <v>65</v>
      </c>
      <c r="G47" s="197"/>
      <c r="H47" s="197"/>
      <c r="I47" s="197">
        <f t="shared" si="0"/>
        <v>766.7020397502733</v>
      </c>
      <c r="J47" s="197">
        <f t="shared" si="5"/>
        <v>4.944110060189166</v>
      </c>
      <c r="K47" s="197">
        <f t="shared" si="6"/>
        <v>1000</v>
      </c>
      <c r="L47" s="197">
        <f t="shared" si="7"/>
        <v>8.777620258940534</v>
      </c>
      <c r="M47" s="196">
        <f t="shared" si="1"/>
        <v>65</v>
      </c>
      <c r="N47" s="198" t="str">
        <f t="shared" si="8"/>
        <v>Stratos 40 1/12</v>
      </c>
      <c r="O47" s="174"/>
      <c r="P47" s="174"/>
      <c r="Q47" s="176"/>
      <c r="R47" s="174"/>
      <c r="S47" s="174"/>
      <c r="T47" s="174"/>
      <c r="U47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</row>
    <row r="48" spans="1:54" s="10" customFormat="1" ht="12.75">
      <c r="A48" s="192">
        <v>28</v>
      </c>
      <c r="B48" s="193">
        <f>VLOOKUP(A48,Gleichz!$A$1:$B$60,2)</f>
        <v>4</v>
      </c>
      <c r="C48" s="193">
        <f t="shared" si="2"/>
        <v>140</v>
      </c>
      <c r="D48" s="194">
        <f t="shared" si="3"/>
        <v>8.025222126683863</v>
      </c>
      <c r="E48" s="195" t="str">
        <f t="shared" si="9"/>
        <v>Top S 40/7</v>
      </c>
      <c r="F48" s="196">
        <f t="shared" si="4"/>
        <v>65</v>
      </c>
      <c r="G48" s="197"/>
      <c r="H48" s="197"/>
      <c r="I48" s="197">
        <f t="shared" si="0"/>
        <v>766.7020397502733</v>
      </c>
      <c r="J48" s="197">
        <f t="shared" si="5"/>
        <v>5.159071367153912</v>
      </c>
      <c r="K48" s="197">
        <f t="shared" si="6"/>
        <v>1000</v>
      </c>
      <c r="L48" s="197">
        <f t="shared" si="7"/>
        <v>8.99258156590528</v>
      </c>
      <c r="M48" s="196">
        <f t="shared" si="1"/>
        <v>65</v>
      </c>
      <c r="N48" s="198" t="str">
        <f t="shared" si="8"/>
        <v>Stratos 40 1/12</v>
      </c>
      <c r="O48" s="174"/>
      <c r="P48" s="174"/>
      <c r="Q48" s="176"/>
      <c r="R48" s="174"/>
      <c r="S48" s="174"/>
      <c r="T48" s="174"/>
      <c r="U48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</row>
    <row r="49" spans="1:54" s="10" customFormat="1" ht="12.75">
      <c r="A49" s="192">
        <v>29</v>
      </c>
      <c r="B49" s="193">
        <f>VLOOKUP(A49,Gleichz!$A$1:$B$60,2)</f>
        <v>4</v>
      </c>
      <c r="C49" s="193">
        <f t="shared" si="2"/>
        <v>145</v>
      </c>
      <c r="D49" s="194">
        <f t="shared" si="3"/>
        <v>8.311837202636859</v>
      </c>
      <c r="E49" s="195" t="str">
        <f t="shared" si="9"/>
        <v>Top S 40/7</v>
      </c>
      <c r="F49" s="196">
        <f t="shared" si="4"/>
        <v>65</v>
      </c>
      <c r="G49" s="197"/>
      <c r="H49" s="197"/>
      <c r="I49" s="197">
        <f t="shared" si="0"/>
        <v>766.7020397502733</v>
      </c>
      <c r="J49" s="197">
        <f t="shared" si="5"/>
        <v>5.374032674118658</v>
      </c>
      <c r="K49" s="197">
        <f t="shared" si="6"/>
        <v>1000</v>
      </c>
      <c r="L49" s="197">
        <f t="shared" si="7"/>
        <v>9.207542872870025</v>
      </c>
      <c r="M49" s="196">
        <f t="shared" si="1"/>
        <v>65</v>
      </c>
      <c r="N49" s="198" t="str">
        <f t="shared" si="8"/>
        <v>Stratos 40 1/12</v>
      </c>
      <c r="O49" s="174"/>
      <c r="P49" s="174"/>
      <c r="Q49" s="176"/>
      <c r="R49" s="174"/>
      <c r="S49" s="174"/>
      <c r="T49" s="174"/>
      <c r="U49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</row>
    <row r="50" spans="1:54" s="10" customFormat="1" ht="12.75">
      <c r="A50" s="192">
        <v>30</v>
      </c>
      <c r="B50" s="193">
        <f>VLOOKUP(A50,Gleichz!$A$1:$B$60,2)</f>
        <v>4</v>
      </c>
      <c r="C50" s="193">
        <f t="shared" si="2"/>
        <v>150</v>
      </c>
      <c r="D50" s="194">
        <f t="shared" si="3"/>
        <v>8.598452278589853</v>
      </c>
      <c r="E50" s="195" t="str">
        <f t="shared" si="9"/>
        <v>Top S 40/7</v>
      </c>
      <c r="F50" s="196">
        <f t="shared" si="4"/>
        <v>65</v>
      </c>
      <c r="G50" s="197"/>
      <c r="H50" s="197"/>
      <c r="I50" s="197">
        <f t="shared" si="0"/>
        <v>766.7020397502733</v>
      </c>
      <c r="J50" s="197">
        <f t="shared" si="5"/>
        <v>5.588993981083404</v>
      </c>
      <c r="K50" s="197">
        <f t="shared" si="6"/>
        <v>1000</v>
      </c>
      <c r="L50" s="197">
        <f t="shared" si="7"/>
        <v>9.422504179834771</v>
      </c>
      <c r="M50" s="196">
        <f t="shared" si="1"/>
        <v>65</v>
      </c>
      <c r="N50" s="198" t="str">
        <f t="shared" si="8"/>
        <v>Stratos 40 1/12</v>
      </c>
      <c r="O50" s="174"/>
      <c r="P50" s="174"/>
      <c r="Q50" s="176"/>
      <c r="R50" s="174"/>
      <c r="S50" s="174"/>
      <c r="T50" s="174"/>
      <c r="U50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</row>
    <row r="51" spans="1:54" s="10" customFormat="1" ht="12.75">
      <c r="A51" s="192">
        <v>31</v>
      </c>
      <c r="B51" s="193">
        <f>VLOOKUP(A51,Gleichz!$A$1:$B$60,2)</f>
        <v>4</v>
      </c>
      <c r="C51" s="193">
        <f t="shared" si="2"/>
        <v>155</v>
      </c>
      <c r="D51" s="194">
        <f t="shared" si="3"/>
        <v>8.88506735454285</v>
      </c>
      <c r="E51" s="195" t="str">
        <f t="shared" si="9"/>
        <v>Top S 40/7</v>
      </c>
      <c r="F51" s="196">
        <f t="shared" si="4"/>
        <v>65</v>
      </c>
      <c r="G51" s="197"/>
      <c r="H51" s="197"/>
      <c r="I51" s="197">
        <f t="shared" si="0"/>
        <v>766.7020397502733</v>
      </c>
      <c r="J51" s="197">
        <f t="shared" si="5"/>
        <v>5.803955288048151</v>
      </c>
      <c r="K51" s="197">
        <f t="shared" si="6"/>
        <v>1000</v>
      </c>
      <c r="L51" s="197">
        <f t="shared" si="7"/>
        <v>9.637465486799517</v>
      </c>
      <c r="M51" s="196">
        <f t="shared" si="1"/>
        <v>65</v>
      </c>
      <c r="N51" s="198" t="str">
        <f t="shared" si="8"/>
        <v>Stratos 40 1/12</v>
      </c>
      <c r="O51" s="174"/>
      <c r="P51" s="174"/>
      <c r="Q51" s="176"/>
      <c r="R51" s="174"/>
      <c r="S51" s="174"/>
      <c r="T51" s="174"/>
      <c r="U51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</row>
    <row r="52" spans="1:54" s="10" customFormat="1" ht="12.75">
      <c r="A52" s="192">
        <v>32</v>
      </c>
      <c r="B52" s="193">
        <f>VLOOKUP(A52,Gleichz!$A$1:$B$60,2)</f>
        <v>5</v>
      </c>
      <c r="C52" s="193">
        <f t="shared" si="2"/>
        <v>160</v>
      </c>
      <c r="D52" s="194">
        <f t="shared" si="3"/>
        <v>9.171682430495844</v>
      </c>
      <c r="E52" s="195" t="str">
        <f t="shared" si="9"/>
        <v>Top S 40/7</v>
      </c>
      <c r="F52" s="196">
        <f t="shared" si="4"/>
        <v>65</v>
      </c>
      <c r="G52" s="197"/>
      <c r="H52" s="197"/>
      <c r="I52" s="197">
        <f t="shared" si="0"/>
        <v>958.3775496878418</v>
      </c>
      <c r="J52" s="197">
        <f t="shared" si="5"/>
        <v>5.803955288048151</v>
      </c>
      <c r="K52" s="197">
        <f t="shared" si="6"/>
        <v>1000</v>
      </c>
      <c r="L52" s="197">
        <f t="shared" si="7"/>
        <v>10.59584303648736</v>
      </c>
      <c r="M52" s="196">
        <f t="shared" si="1"/>
        <v>65</v>
      </c>
      <c r="N52" s="198" t="str">
        <f t="shared" si="8"/>
        <v>Stratos 40 1/12</v>
      </c>
      <c r="O52" s="174"/>
      <c r="P52" s="174"/>
      <c r="Q52" s="176"/>
      <c r="R52" s="174"/>
      <c r="S52" s="174"/>
      <c r="T52" s="174"/>
      <c r="U52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</row>
    <row r="53" spans="1:54" s="10" customFormat="1" ht="12.75">
      <c r="A53" s="192">
        <v>33</v>
      </c>
      <c r="B53" s="193">
        <f>VLOOKUP(A53,Gleichz!$A$1:$B$60,2)</f>
        <v>5</v>
      </c>
      <c r="C53" s="193">
        <f t="shared" si="2"/>
        <v>165</v>
      </c>
      <c r="D53" s="194">
        <f t="shared" si="3"/>
        <v>9.458297506448838</v>
      </c>
      <c r="E53" s="195" t="str">
        <f t="shared" si="9"/>
        <v>Top S 40/7</v>
      </c>
      <c r="F53" s="196">
        <f t="shared" si="4"/>
        <v>65</v>
      </c>
      <c r="G53" s="197"/>
      <c r="H53" s="197"/>
      <c r="I53" s="197">
        <f aca="true" t="shared" si="10" ref="I53:I70">IF($C$5=40,$E$9*B53*6*2/60,$K$9*B53*6*2/60)</f>
        <v>958.3775496878418</v>
      </c>
      <c r="J53" s="197">
        <f t="shared" si="5"/>
        <v>6.0189165950128976</v>
      </c>
      <c r="K53" s="197">
        <f t="shared" si="6"/>
        <v>1000</v>
      </c>
      <c r="L53" s="197">
        <f t="shared" si="7"/>
        <v>10.810804343452105</v>
      </c>
      <c r="M53" s="196">
        <f t="shared" si="1"/>
        <v>65</v>
      </c>
      <c r="N53" s="198" t="str">
        <f t="shared" si="8"/>
        <v>Stratos 40 1/12</v>
      </c>
      <c r="O53" s="174"/>
      <c r="P53" s="174"/>
      <c r="Q53" s="176"/>
      <c r="R53" s="174"/>
      <c r="S53" s="174"/>
      <c r="T53" s="174"/>
      <c r="U53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</row>
    <row r="54" spans="1:54" s="10" customFormat="1" ht="12.75">
      <c r="A54" s="192">
        <v>34</v>
      </c>
      <c r="B54" s="193">
        <f>VLOOKUP(A54,Gleichz!$A$1:$B$60,2)</f>
        <v>5</v>
      </c>
      <c r="C54" s="193">
        <f t="shared" si="2"/>
        <v>170</v>
      </c>
      <c r="D54" s="194">
        <f t="shared" si="3"/>
        <v>9.744912582401835</v>
      </c>
      <c r="E54" s="195" t="str">
        <f t="shared" si="9"/>
        <v>Top S 40/7</v>
      </c>
      <c r="F54" s="196">
        <f t="shared" si="4"/>
        <v>65</v>
      </c>
      <c r="G54" s="197"/>
      <c r="H54" s="197"/>
      <c r="I54" s="197">
        <f t="shared" si="10"/>
        <v>958.3775496878418</v>
      </c>
      <c r="J54" s="197">
        <f t="shared" si="5"/>
        <v>6.233877901977643</v>
      </c>
      <c r="K54" s="197">
        <f t="shared" si="6"/>
        <v>1000</v>
      </c>
      <c r="L54" s="197">
        <f t="shared" si="7"/>
        <v>11.02576565041685</v>
      </c>
      <c r="M54" s="196">
        <f t="shared" si="1"/>
        <v>65</v>
      </c>
      <c r="N54" s="198" t="str">
        <f t="shared" si="8"/>
        <v>Stratos 50 1/9</v>
      </c>
      <c r="O54" s="174"/>
      <c r="P54" s="174"/>
      <c r="Q54" s="176"/>
      <c r="R54" s="174"/>
      <c r="S54" s="174"/>
      <c r="T54" s="174"/>
      <c r="U5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</row>
    <row r="55" spans="1:54" s="10" customFormat="1" ht="12.75">
      <c r="A55" s="192">
        <v>35</v>
      </c>
      <c r="B55" s="193">
        <f>VLOOKUP(A55,Gleichz!$A$1:$B$60,2)</f>
        <v>5</v>
      </c>
      <c r="C55" s="193">
        <f t="shared" si="2"/>
        <v>175</v>
      </c>
      <c r="D55" s="194">
        <f t="shared" si="3"/>
        <v>10.031527658354829</v>
      </c>
      <c r="E55" s="195" t="str">
        <f t="shared" si="9"/>
        <v>Top S 40/7</v>
      </c>
      <c r="F55" s="196">
        <f t="shared" si="4"/>
        <v>65</v>
      </c>
      <c r="G55" s="197"/>
      <c r="H55" s="197"/>
      <c r="I55" s="197">
        <f t="shared" si="10"/>
        <v>958.3775496878418</v>
      </c>
      <c r="J55" s="197">
        <f t="shared" si="5"/>
        <v>6.44883920894239</v>
      </c>
      <c r="K55" s="197">
        <f t="shared" si="6"/>
        <v>1000</v>
      </c>
      <c r="L55" s="197">
        <f t="shared" si="7"/>
        <v>11.240726957381598</v>
      </c>
      <c r="M55" s="196">
        <f t="shared" si="1"/>
        <v>65</v>
      </c>
      <c r="N55" s="198" t="str">
        <f t="shared" si="8"/>
        <v>Stratos 50 1/9</v>
      </c>
      <c r="O55" s="174"/>
      <c r="P55" s="174"/>
      <c r="Q55" s="176"/>
      <c r="R55" s="174"/>
      <c r="S55" s="174"/>
      <c r="T55" s="174"/>
      <c r="U55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</row>
    <row r="56" spans="1:54" s="10" customFormat="1" ht="12.75">
      <c r="A56" s="192">
        <v>36</v>
      </c>
      <c r="B56" s="193">
        <f>VLOOKUP(A56,Gleichz!$A$1:$B$60,2)</f>
        <v>5</v>
      </c>
      <c r="C56" s="193">
        <f t="shared" si="2"/>
        <v>180</v>
      </c>
      <c r="D56" s="194">
        <f t="shared" si="3"/>
        <v>10.318142734307825</v>
      </c>
      <c r="E56" s="195" t="str">
        <f t="shared" si="9"/>
        <v>Top S 40/7</v>
      </c>
      <c r="F56" s="196">
        <f t="shared" si="4"/>
        <v>65</v>
      </c>
      <c r="G56" s="197"/>
      <c r="H56" s="197"/>
      <c r="I56" s="197">
        <f t="shared" si="10"/>
        <v>958.3775496878418</v>
      </c>
      <c r="J56" s="197">
        <f t="shared" si="5"/>
        <v>6.663800515907136</v>
      </c>
      <c r="K56" s="197">
        <f t="shared" si="6"/>
        <v>1000</v>
      </c>
      <c r="L56" s="197">
        <f t="shared" si="7"/>
        <v>11.455688264346344</v>
      </c>
      <c r="M56" s="196">
        <f t="shared" si="1"/>
        <v>65</v>
      </c>
      <c r="N56" s="198" t="str">
        <f t="shared" si="8"/>
        <v>Stratos 50 1/9</v>
      </c>
      <c r="O56" s="174"/>
      <c r="P56" s="174"/>
      <c r="Q56" s="176"/>
      <c r="R56" s="174"/>
      <c r="S56" s="174"/>
      <c r="T56" s="174"/>
      <c r="U56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</row>
    <row r="57" spans="1:54" s="10" customFormat="1" ht="12.75">
      <c r="A57" s="192">
        <v>37</v>
      </c>
      <c r="B57" s="193">
        <f>VLOOKUP(A57,Gleichz!$A$1:$B$60,2)</f>
        <v>5</v>
      </c>
      <c r="C57" s="193">
        <f t="shared" si="2"/>
        <v>185</v>
      </c>
      <c r="D57" s="194">
        <f t="shared" si="3"/>
        <v>10.60475781026082</v>
      </c>
      <c r="E57" s="195" t="str">
        <f t="shared" si="9"/>
        <v>Top S 40/7</v>
      </c>
      <c r="F57" s="196">
        <f t="shared" si="4"/>
        <v>65</v>
      </c>
      <c r="G57" s="197"/>
      <c r="H57" s="197"/>
      <c r="I57" s="197">
        <f t="shared" si="10"/>
        <v>958.3775496878418</v>
      </c>
      <c r="J57" s="197">
        <f t="shared" si="5"/>
        <v>6.8787618228718825</v>
      </c>
      <c r="K57" s="197">
        <f t="shared" si="6"/>
        <v>1000</v>
      </c>
      <c r="L57" s="197">
        <f t="shared" si="7"/>
        <v>11.670649571311092</v>
      </c>
      <c r="M57" s="196">
        <f t="shared" si="1"/>
        <v>65</v>
      </c>
      <c r="N57" s="198" t="str">
        <f t="shared" si="8"/>
        <v>Stratos 50 1/9</v>
      </c>
      <c r="O57" s="174"/>
      <c r="P57" s="174"/>
      <c r="Q57" s="176"/>
      <c r="R57" s="174"/>
      <c r="S57" s="174"/>
      <c r="T57" s="174"/>
      <c r="U57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</row>
    <row r="58" spans="1:54" s="10" customFormat="1" ht="12.75">
      <c r="A58" s="192">
        <v>38</v>
      </c>
      <c r="B58" s="193">
        <f>VLOOKUP(A58,Gleichz!$A$1:$B$60,2)</f>
        <v>5</v>
      </c>
      <c r="C58" s="193">
        <f t="shared" si="2"/>
        <v>190</v>
      </c>
      <c r="D58" s="194">
        <f t="shared" si="3"/>
        <v>10.891372886213814</v>
      </c>
      <c r="E58" s="195" t="str">
        <f t="shared" si="9"/>
        <v>Top S 40/7</v>
      </c>
      <c r="F58" s="196">
        <f t="shared" si="4"/>
        <v>65</v>
      </c>
      <c r="G58" s="197"/>
      <c r="H58" s="197"/>
      <c r="I58" s="197">
        <f t="shared" si="10"/>
        <v>958.3775496878418</v>
      </c>
      <c r="J58" s="197">
        <f t="shared" si="5"/>
        <v>7.093723129836629</v>
      </c>
      <c r="K58" s="197">
        <f t="shared" si="6"/>
        <v>1000</v>
      </c>
      <c r="L58" s="197">
        <f t="shared" si="7"/>
        <v>11.885610878275838</v>
      </c>
      <c r="M58" s="196">
        <f t="shared" si="1"/>
        <v>65</v>
      </c>
      <c r="N58" s="198" t="str">
        <f t="shared" si="8"/>
        <v>Stratos 50 1/9</v>
      </c>
      <c r="O58" s="174"/>
      <c r="P58" s="174"/>
      <c r="Q58" s="176"/>
      <c r="R58" s="174"/>
      <c r="S58" s="174"/>
      <c r="T58" s="174"/>
      <c r="U58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/>
      <c r="BB58" s="174"/>
    </row>
    <row r="59" spans="1:54" s="10" customFormat="1" ht="12.75">
      <c r="A59" s="192">
        <v>39</v>
      </c>
      <c r="B59" s="193">
        <f>VLOOKUP(A59,Gleichz!$A$1:$B$60,2)</f>
        <v>5</v>
      </c>
      <c r="C59" s="193">
        <f t="shared" si="2"/>
        <v>195</v>
      </c>
      <c r="D59" s="194">
        <f t="shared" si="3"/>
        <v>11.17798796216681</v>
      </c>
      <c r="E59" s="195" t="str">
        <f>IF(D59&lt;1.7,"Star RS 25-6",IF(D59&lt;=6,"Top S 30/7",IF(D59&lt;=11,"Top S 40/7",IF(D59&lt;=19,"Top S 50/4",IF(D59&lt;=24,"Top S 65/10",IF(D59&gt;24,"Pumpenauslegung bitte mit Wilo abstimmen"))))))</f>
        <v>Top S 50/4</v>
      </c>
      <c r="F59" s="196">
        <f t="shared" si="4"/>
        <v>65</v>
      </c>
      <c r="G59" s="197"/>
      <c r="H59" s="197"/>
      <c r="I59" s="197">
        <f t="shared" si="10"/>
        <v>958.3775496878418</v>
      </c>
      <c r="J59" s="197">
        <f t="shared" si="5"/>
        <v>7.308684436801375</v>
      </c>
      <c r="K59" s="197">
        <f t="shared" si="6"/>
        <v>1000</v>
      </c>
      <c r="L59" s="197">
        <f t="shared" si="7"/>
        <v>12.100572185240583</v>
      </c>
      <c r="M59" s="196">
        <f t="shared" si="1"/>
        <v>65</v>
      </c>
      <c r="N59" s="198" t="str">
        <f t="shared" si="8"/>
        <v>Stratos 50 1/9</v>
      </c>
      <c r="O59" s="174"/>
      <c r="P59" s="174"/>
      <c r="Q59" s="176"/>
      <c r="R59" s="174"/>
      <c r="S59" s="174"/>
      <c r="T59" s="174"/>
      <c r="U59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4"/>
    </row>
    <row r="60" spans="1:54" s="10" customFormat="1" ht="12.75">
      <c r="A60" s="192">
        <v>40</v>
      </c>
      <c r="B60" s="193">
        <f>VLOOKUP(A60,Gleichz!$A$1:$B$60,2)</f>
        <v>5</v>
      </c>
      <c r="C60" s="193">
        <f t="shared" si="2"/>
        <v>200</v>
      </c>
      <c r="D60" s="194">
        <f t="shared" si="3"/>
        <v>11.464603038119805</v>
      </c>
      <c r="E60" s="195" t="str">
        <f t="shared" si="9"/>
        <v>Top S 50/4</v>
      </c>
      <c r="F60" s="196">
        <f t="shared" si="4"/>
        <v>65</v>
      </c>
      <c r="G60" s="197"/>
      <c r="H60" s="197"/>
      <c r="I60" s="197">
        <f t="shared" si="10"/>
        <v>958.3775496878418</v>
      </c>
      <c r="J60" s="197">
        <f t="shared" si="5"/>
        <v>7.523645743766122</v>
      </c>
      <c r="K60" s="197">
        <f t="shared" si="6"/>
        <v>1000</v>
      </c>
      <c r="L60" s="197">
        <f t="shared" si="7"/>
        <v>12.31553349220533</v>
      </c>
      <c r="M60" s="196">
        <f t="shared" si="1"/>
        <v>65</v>
      </c>
      <c r="N60" s="198" t="str">
        <f t="shared" si="8"/>
        <v>Stratos 50 1/9</v>
      </c>
      <c r="O60" s="174"/>
      <c r="P60" s="174"/>
      <c r="Q60" s="176"/>
      <c r="R60" s="174"/>
      <c r="S60" s="174"/>
      <c r="T60" s="174"/>
      <c r="U60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</row>
    <row r="61" spans="1:54" s="10" customFormat="1" ht="12.75">
      <c r="A61" s="192">
        <v>41</v>
      </c>
      <c r="B61" s="193">
        <f>VLOOKUP(A61,Gleichz!$A$1:$B$60,2)</f>
        <v>5</v>
      </c>
      <c r="C61" s="193">
        <f t="shared" si="2"/>
        <v>205</v>
      </c>
      <c r="D61" s="194">
        <f t="shared" si="3"/>
        <v>11.7512181140728</v>
      </c>
      <c r="E61" s="195" t="str">
        <f>IF(D61&lt;1.7,"Star RS 25-6",IF(D61&lt;=6,"Top S 30/7",IF(D61&lt;=11,"Top S 40/7",IF(D61&lt;=19,"Top S 50/4",IF(D61&lt;=24,"Top S 65/10",IF(D61&gt;24,"mit Wilo abstimmen"))))))</f>
        <v>Top S 50/4</v>
      </c>
      <c r="F61" s="196">
        <f t="shared" si="4"/>
        <v>65</v>
      </c>
      <c r="G61" s="197"/>
      <c r="H61" s="197"/>
      <c r="I61" s="197">
        <f t="shared" si="10"/>
        <v>958.3775496878418</v>
      </c>
      <c r="J61" s="197">
        <f t="shared" si="5"/>
        <v>7.7386070507308675</v>
      </c>
      <c r="K61" s="197">
        <f t="shared" si="6"/>
        <v>1000</v>
      </c>
      <c r="L61" s="197">
        <f t="shared" si="7"/>
        <v>12.530494799170075</v>
      </c>
      <c r="M61" s="196">
        <f t="shared" si="1"/>
        <v>65</v>
      </c>
      <c r="N61" s="198" t="str">
        <f t="shared" si="8"/>
        <v>Stratos 50 1/9</v>
      </c>
      <c r="O61" s="174"/>
      <c r="P61" s="174"/>
      <c r="Q61" s="176"/>
      <c r="R61" s="174"/>
      <c r="S61" s="174"/>
      <c r="T61" s="174"/>
      <c r="U61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A61" s="174"/>
      <c r="BB61" s="174"/>
    </row>
    <row r="62" spans="1:54" s="10" customFormat="1" ht="12.75">
      <c r="A62" s="192">
        <v>42</v>
      </c>
      <c r="B62" s="193">
        <f>VLOOKUP(A62,Gleichz!$A$1:$B$60,2)</f>
        <v>5</v>
      </c>
      <c r="C62" s="193">
        <f t="shared" si="2"/>
        <v>210</v>
      </c>
      <c r="D62" s="194">
        <f t="shared" si="3"/>
        <v>12.037833190025795</v>
      </c>
      <c r="E62" s="195" t="str">
        <f aca="true" t="shared" si="11" ref="E62:E70">IF(D62&lt;1.7,"Star RS 25-6",IF(D62&lt;=6,"Top S 30/7",IF(D62&lt;=11,"Top S 40/7",IF(D62&lt;=19,"Top S 50/4",IF(D62&lt;=24,"Top S 65/10",IF(D62&gt;24,"mit Wilo abstimmen"))))))</f>
        <v>Top S 50/4</v>
      </c>
      <c r="F62" s="196">
        <f t="shared" si="4"/>
        <v>65</v>
      </c>
      <c r="G62" s="197"/>
      <c r="H62" s="197"/>
      <c r="I62" s="197">
        <f t="shared" si="10"/>
        <v>958.3775496878418</v>
      </c>
      <c r="J62" s="197">
        <f t="shared" si="5"/>
        <v>7.953568357695614</v>
      </c>
      <c r="K62" s="197">
        <f t="shared" si="6"/>
        <v>1000</v>
      </c>
      <c r="L62" s="197">
        <f t="shared" si="7"/>
        <v>12.745456106134823</v>
      </c>
      <c r="M62" s="196">
        <f t="shared" si="1"/>
        <v>65</v>
      </c>
      <c r="N62" s="198" t="str">
        <f t="shared" si="8"/>
        <v>Stratos 50 1/9</v>
      </c>
      <c r="O62" s="174"/>
      <c r="P62" s="174"/>
      <c r="Q62" s="176"/>
      <c r="R62" s="174"/>
      <c r="S62" s="174"/>
      <c r="T62" s="174"/>
      <c r="U62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</row>
    <row r="63" spans="1:54" s="10" customFormat="1" ht="12.75">
      <c r="A63" s="192">
        <v>43</v>
      </c>
      <c r="B63" s="193">
        <f>VLOOKUP(A63,Gleichz!$A$1:$B$60,2)</f>
        <v>5</v>
      </c>
      <c r="C63" s="193">
        <f t="shared" si="2"/>
        <v>215</v>
      </c>
      <c r="D63" s="194">
        <f t="shared" si="3"/>
        <v>12.32444826597879</v>
      </c>
      <c r="E63" s="195" t="str">
        <f t="shared" si="11"/>
        <v>Top S 50/4</v>
      </c>
      <c r="F63" s="196">
        <f t="shared" si="4"/>
        <v>65</v>
      </c>
      <c r="G63" s="197"/>
      <c r="H63" s="197"/>
      <c r="I63" s="197">
        <f t="shared" si="10"/>
        <v>958.3775496878418</v>
      </c>
      <c r="J63" s="197">
        <f t="shared" si="5"/>
        <v>8.16852966466036</v>
      </c>
      <c r="K63" s="197">
        <f t="shared" si="6"/>
        <v>1000</v>
      </c>
      <c r="L63" s="197">
        <f t="shared" si="7"/>
        <v>12.960417413099568</v>
      </c>
      <c r="M63" s="196">
        <f t="shared" si="1"/>
        <v>65</v>
      </c>
      <c r="N63" s="198" t="str">
        <f t="shared" si="8"/>
        <v>Stratos 50 1/9</v>
      </c>
      <c r="O63" s="174"/>
      <c r="P63" s="174"/>
      <c r="Q63" s="176"/>
      <c r="R63" s="174"/>
      <c r="S63" s="174"/>
      <c r="T63" s="174"/>
      <c r="U63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174"/>
      <c r="BA63" s="174"/>
      <c r="BB63" s="174"/>
    </row>
    <row r="64" spans="1:54" s="10" customFormat="1" ht="12.75">
      <c r="A64" s="192">
        <v>44</v>
      </c>
      <c r="B64" s="193">
        <f>VLOOKUP(A64,Gleichz!$A$1:$B$60,2)</f>
        <v>5</v>
      </c>
      <c r="C64" s="193">
        <f t="shared" si="2"/>
        <v>220</v>
      </c>
      <c r="D64" s="194">
        <f t="shared" si="3"/>
        <v>12.611063341931786</v>
      </c>
      <c r="E64" s="195" t="str">
        <f t="shared" si="11"/>
        <v>Top S 50/4</v>
      </c>
      <c r="F64" s="196">
        <f t="shared" si="4"/>
        <v>65</v>
      </c>
      <c r="G64" s="197"/>
      <c r="H64" s="197"/>
      <c r="I64" s="197">
        <f t="shared" si="10"/>
        <v>958.3775496878418</v>
      </c>
      <c r="J64" s="197">
        <f t="shared" si="5"/>
        <v>8.383490971625108</v>
      </c>
      <c r="K64" s="197">
        <f t="shared" si="6"/>
        <v>1000</v>
      </c>
      <c r="L64" s="197">
        <f t="shared" si="7"/>
        <v>13.175378720064316</v>
      </c>
      <c r="M64" s="196">
        <f t="shared" si="1"/>
        <v>80</v>
      </c>
      <c r="N64" s="198" t="str">
        <f t="shared" si="8"/>
        <v>Stratos 50 1/9</v>
      </c>
      <c r="O64" s="174"/>
      <c r="P64" s="174"/>
      <c r="Q64" s="176"/>
      <c r="R64" s="174"/>
      <c r="S64" s="174"/>
      <c r="T64" s="174"/>
      <c r="U6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</row>
    <row r="65" spans="1:54" s="10" customFormat="1" ht="12.75">
      <c r="A65" s="192">
        <v>45</v>
      </c>
      <c r="B65" s="193">
        <f>VLOOKUP(A65,Gleichz!$A$1:$B$60,2)</f>
        <v>5</v>
      </c>
      <c r="C65" s="193">
        <f t="shared" si="2"/>
        <v>225</v>
      </c>
      <c r="D65" s="194">
        <f t="shared" si="3"/>
        <v>12.89767841788478</v>
      </c>
      <c r="E65" s="195" t="str">
        <f t="shared" si="11"/>
        <v>Top S 50/4</v>
      </c>
      <c r="F65" s="196">
        <f t="shared" si="4"/>
        <v>65</v>
      </c>
      <c r="G65" s="197"/>
      <c r="H65" s="197"/>
      <c r="I65" s="197">
        <f t="shared" si="10"/>
        <v>958.3775496878418</v>
      </c>
      <c r="J65" s="197">
        <f t="shared" si="5"/>
        <v>8.598452278589853</v>
      </c>
      <c r="K65" s="197">
        <f t="shared" si="6"/>
        <v>1000</v>
      </c>
      <c r="L65" s="197">
        <f t="shared" si="7"/>
        <v>13.390340027029062</v>
      </c>
      <c r="M65" s="196">
        <f t="shared" si="1"/>
        <v>80</v>
      </c>
      <c r="N65" s="198" t="str">
        <f t="shared" si="8"/>
        <v>Stratos 50 1/9</v>
      </c>
      <c r="O65" s="174"/>
      <c r="P65" s="174"/>
      <c r="Q65" s="176"/>
      <c r="R65" s="174"/>
      <c r="S65" s="174"/>
      <c r="T65" s="174"/>
      <c r="U65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</row>
    <row r="66" spans="1:54" s="10" customFormat="1" ht="12.75">
      <c r="A66" s="192">
        <v>46</v>
      </c>
      <c r="B66" s="193">
        <f>VLOOKUP(A66,Gleichz!$A$1:$B$60,2)</f>
        <v>5</v>
      </c>
      <c r="C66" s="193">
        <f t="shared" si="2"/>
        <v>230</v>
      </c>
      <c r="D66" s="194">
        <f t="shared" si="3"/>
        <v>13.184293493837776</v>
      </c>
      <c r="E66" s="195" t="str">
        <f t="shared" si="11"/>
        <v>Top S 50/4</v>
      </c>
      <c r="F66" s="196">
        <f t="shared" si="4"/>
        <v>80</v>
      </c>
      <c r="G66" s="197"/>
      <c r="H66" s="197"/>
      <c r="I66" s="197">
        <f t="shared" si="10"/>
        <v>958.3775496878418</v>
      </c>
      <c r="J66" s="197">
        <f t="shared" si="5"/>
        <v>8.8134135855546</v>
      </c>
      <c r="K66" s="197">
        <f t="shared" si="6"/>
        <v>1000</v>
      </c>
      <c r="L66" s="197">
        <f t="shared" si="7"/>
        <v>13.605301333993808</v>
      </c>
      <c r="M66" s="196">
        <f t="shared" si="1"/>
        <v>80</v>
      </c>
      <c r="N66" s="198" t="str">
        <f t="shared" si="8"/>
        <v>Stratos 50 1/9</v>
      </c>
      <c r="O66" s="174"/>
      <c r="P66" s="174"/>
      <c r="Q66" s="176"/>
      <c r="R66" s="174"/>
      <c r="S66" s="174"/>
      <c r="T66" s="174"/>
      <c r="U66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4"/>
      <c r="AV66" s="174"/>
      <c r="AW66" s="174"/>
      <c r="AX66" s="174"/>
      <c r="AY66" s="174"/>
      <c r="AZ66" s="174"/>
      <c r="BA66" s="174"/>
      <c r="BB66" s="174"/>
    </row>
    <row r="67" spans="1:54" s="10" customFormat="1" ht="12.75">
      <c r="A67" s="192">
        <v>47</v>
      </c>
      <c r="B67" s="193">
        <f>VLOOKUP(A67,Gleichz!$A$1:$B$60,2)</f>
        <v>5</v>
      </c>
      <c r="C67" s="193">
        <f t="shared" si="2"/>
        <v>235</v>
      </c>
      <c r="D67" s="194">
        <f t="shared" si="3"/>
        <v>13.47090856979077</v>
      </c>
      <c r="E67" s="195" t="str">
        <f t="shared" si="11"/>
        <v>Top S 50/4</v>
      </c>
      <c r="F67" s="196">
        <f t="shared" si="4"/>
        <v>80</v>
      </c>
      <c r="G67" s="197"/>
      <c r="H67" s="197"/>
      <c r="I67" s="197">
        <f t="shared" si="10"/>
        <v>958.3775496878418</v>
      </c>
      <c r="J67" s="197">
        <f t="shared" si="5"/>
        <v>9.028374892519347</v>
      </c>
      <c r="K67" s="197">
        <f t="shared" si="6"/>
        <v>1000</v>
      </c>
      <c r="L67" s="197">
        <f t="shared" si="7"/>
        <v>13.820262640958555</v>
      </c>
      <c r="M67" s="196">
        <f t="shared" si="1"/>
        <v>80</v>
      </c>
      <c r="N67" s="198" t="str">
        <f t="shared" si="8"/>
        <v>Stratos 50 1/9</v>
      </c>
      <c r="O67" s="174"/>
      <c r="P67" s="174"/>
      <c r="Q67" s="176"/>
      <c r="R67" s="174"/>
      <c r="S67" s="174"/>
      <c r="T67" s="174"/>
      <c r="U67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A67" s="174"/>
      <c r="BB67" s="174"/>
    </row>
    <row r="68" spans="1:54" s="10" customFormat="1" ht="12.75">
      <c r="A68" s="192">
        <v>48</v>
      </c>
      <c r="B68" s="193">
        <f>VLOOKUP(A68,Gleichz!$A$1:$B$60,2)</f>
        <v>5</v>
      </c>
      <c r="C68" s="193">
        <f t="shared" si="2"/>
        <v>240</v>
      </c>
      <c r="D68" s="194">
        <f t="shared" si="3"/>
        <v>13.757523645743765</v>
      </c>
      <c r="E68" s="195" t="str">
        <f t="shared" si="11"/>
        <v>Top S 50/4</v>
      </c>
      <c r="F68" s="196">
        <f t="shared" si="4"/>
        <v>80</v>
      </c>
      <c r="G68" s="197"/>
      <c r="H68" s="197"/>
      <c r="I68" s="197">
        <f t="shared" si="10"/>
        <v>958.3775496878418</v>
      </c>
      <c r="J68" s="197">
        <f t="shared" si="5"/>
        <v>9.243336199484093</v>
      </c>
      <c r="K68" s="197">
        <f t="shared" si="6"/>
        <v>1000</v>
      </c>
      <c r="L68" s="197">
        <f t="shared" si="7"/>
        <v>14.035223947923301</v>
      </c>
      <c r="M68" s="196">
        <f t="shared" si="1"/>
        <v>80</v>
      </c>
      <c r="N68" s="198" t="str">
        <f t="shared" si="8"/>
        <v>Stratos 50 1/9</v>
      </c>
      <c r="O68" s="174"/>
      <c r="P68" s="174"/>
      <c r="Q68" s="176"/>
      <c r="R68" s="174"/>
      <c r="S68" s="174"/>
      <c r="T68" s="174"/>
      <c r="U68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174"/>
      <c r="AZ68" s="174"/>
      <c r="BA68" s="174"/>
      <c r="BB68" s="174"/>
    </row>
    <row r="69" spans="1:54" s="10" customFormat="1" ht="12.75">
      <c r="A69" s="192">
        <v>49</v>
      </c>
      <c r="B69" s="193">
        <f>VLOOKUP(A69,Gleichz!$A$1:$B$60,2)</f>
        <v>5</v>
      </c>
      <c r="C69" s="193">
        <f t="shared" si="2"/>
        <v>245</v>
      </c>
      <c r="D69" s="194">
        <f t="shared" si="3"/>
        <v>14.044138721696761</v>
      </c>
      <c r="E69" s="195" t="str">
        <f t="shared" si="11"/>
        <v>Top S 50/4</v>
      </c>
      <c r="F69" s="196">
        <f t="shared" si="4"/>
        <v>80</v>
      </c>
      <c r="G69" s="197"/>
      <c r="H69" s="197"/>
      <c r="I69" s="197">
        <f t="shared" si="10"/>
        <v>958.3775496878418</v>
      </c>
      <c r="J69" s="197">
        <f t="shared" si="5"/>
        <v>9.458297506448838</v>
      </c>
      <c r="K69" s="197">
        <f t="shared" si="6"/>
        <v>1000</v>
      </c>
      <c r="L69" s="197">
        <f t="shared" si="7"/>
        <v>14.250185254888047</v>
      </c>
      <c r="M69" s="196">
        <f t="shared" si="1"/>
        <v>80</v>
      </c>
      <c r="N69" s="198" t="str">
        <f t="shared" si="8"/>
        <v>Stratos 50 1/9</v>
      </c>
      <c r="O69" s="174"/>
      <c r="P69" s="174"/>
      <c r="Q69" s="176"/>
      <c r="R69" s="174"/>
      <c r="S69" s="174"/>
      <c r="T69" s="174"/>
      <c r="U69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174"/>
      <c r="AQ69" s="174"/>
      <c r="AR69" s="174"/>
      <c r="AS69" s="174"/>
      <c r="AT69" s="174"/>
      <c r="AU69" s="174"/>
      <c r="AV69" s="174"/>
      <c r="AW69" s="174"/>
      <c r="AX69" s="174"/>
      <c r="AY69" s="174"/>
      <c r="AZ69" s="174"/>
      <c r="BA69" s="174"/>
      <c r="BB69" s="174"/>
    </row>
    <row r="70" spans="1:54" s="10" customFormat="1" ht="12.75">
      <c r="A70" s="192">
        <v>50</v>
      </c>
      <c r="B70" s="193">
        <f>VLOOKUP(A70,Gleichz!$A$1:$B$60,2)</f>
        <v>5</v>
      </c>
      <c r="C70" s="193">
        <f t="shared" si="2"/>
        <v>250</v>
      </c>
      <c r="D70" s="194">
        <f t="shared" si="3"/>
        <v>14.330753797649756</v>
      </c>
      <c r="E70" s="195" t="str">
        <f t="shared" si="11"/>
        <v>Top S 50/4</v>
      </c>
      <c r="F70" s="196">
        <f t="shared" si="4"/>
        <v>50</v>
      </c>
      <c r="G70" s="197"/>
      <c r="H70" s="197"/>
      <c r="I70" s="197">
        <f t="shared" si="10"/>
        <v>958.3775496878418</v>
      </c>
      <c r="J70" s="197">
        <f t="shared" si="5"/>
        <v>9.673258813413584</v>
      </c>
      <c r="K70" s="197">
        <f t="shared" si="6"/>
        <v>1000</v>
      </c>
      <c r="L70" s="197">
        <f t="shared" si="7"/>
        <v>14.465146561852793</v>
      </c>
      <c r="M70" s="196">
        <f t="shared" si="1"/>
        <v>80</v>
      </c>
      <c r="N70" s="198" t="str">
        <f t="shared" si="8"/>
        <v>Stratos 50 1/9</v>
      </c>
      <c r="O70" s="174"/>
      <c r="P70" s="174"/>
      <c r="Q70" s="176"/>
      <c r="R70" s="174"/>
      <c r="S70" s="174"/>
      <c r="T70" s="174"/>
      <c r="U70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74"/>
      <c r="AR70" s="174"/>
      <c r="AS70" s="174"/>
      <c r="AT70" s="174"/>
      <c r="AU70" s="174"/>
      <c r="AV70" s="174"/>
      <c r="AW70" s="174"/>
      <c r="AX70" s="174"/>
      <c r="AY70" s="174"/>
      <c r="AZ70" s="174"/>
      <c r="BA70" s="174"/>
      <c r="BB70" s="174"/>
    </row>
    <row r="71" spans="1:54" s="10" customFormat="1" ht="12.75">
      <c r="A71" s="3"/>
      <c r="B71" s="3"/>
      <c r="C71" s="3"/>
      <c r="D71" s="3"/>
      <c r="E71" s="3"/>
      <c r="F71" s="3"/>
      <c r="G71" s="3"/>
      <c r="H71" s="3"/>
      <c r="I71" s="3"/>
      <c r="J71" s="186"/>
      <c r="K71" s="3"/>
      <c r="L71" s="12"/>
      <c r="M71" s="12"/>
      <c r="N71" s="12"/>
      <c r="O71" s="174"/>
      <c r="P71" s="174"/>
      <c r="Q71" s="176"/>
      <c r="R71" s="174"/>
      <c r="S71" s="174"/>
      <c r="T71" s="174"/>
      <c r="U71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  <c r="AX71" s="174"/>
      <c r="AY71" s="174"/>
      <c r="AZ71" s="174"/>
      <c r="BA71" s="174"/>
      <c r="BB71" s="174"/>
    </row>
    <row r="72" spans="1:54" s="182" customFormat="1" ht="15">
      <c r="A72" s="187" t="s">
        <v>180</v>
      </c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9"/>
      <c r="M72" s="189"/>
      <c r="N72" s="189"/>
      <c r="O72" s="183"/>
      <c r="P72" s="183"/>
      <c r="Q72" s="184"/>
      <c r="R72" s="183"/>
      <c r="S72" s="183"/>
      <c r="T72" s="183"/>
      <c r="U72" s="185"/>
      <c r="V72" s="183"/>
      <c r="W72" s="183"/>
      <c r="X72" s="183"/>
      <c r="Y72" s="183"/>
      <c r="Z72" s="183"/>
      <c r="AA72" s="183"/>
      <c r="AB72" s="183"/>
      <c r="AC72" s="183"/>
      <c r="AD72" s="183"/>
      <c r="AE72" s="183"/>
      <c r="AF72" s="183"/>
      <c r="AG72" s="183"/>
      <c r="AH72" s="183"/>
      <c r="AI72" s="183"/>
      <c r="AJ72" s="183"/>
      <c r="AK72" s="183"/>
      <c r="AL72" s="183"/>
      <c r="AM72" s="183"/>
      <c r="AN72" s="183"/>
      <c r="AO72" s="183"/>
      <c r="AP72" s="183"/>
      <c r="AQ72" s="183"/>
      <c r="AR72" s="183"/>
      <c r="AS72" s="183"/>
      <c r="AT72" s="183"/>
      <c r="AU72" s="183"/>
      <c r="AV72" s="183"/>
      <c r="AW72" s="183"/>
      <c r="AX72" s="183"/>
      <c r="AY72" s="183"/>
      <c r="AZ72" s="183"/>
      <c r="BA72" s="183"/>
      <c r="BB72" s="183"/>
    </row>
    <row r="73" spans="1:54" s="182" customFormat="1" ht="15">
      <c r="A73" s="187" t="s">
        <v>181</v>
      </c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9"/>
      <c r="M73" s="189"/>
      <c r="N73" s="189"/>
      <c r="O73" s="183"/>
      <c r="P73" s="183"/>
      <c r="Q73" s="184"/>
      <c r="R73" s="183"/>
      <c r="S73" s="183"/>
      <c r="T73" s="183"/>
      <c r="U73" s="185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183"/>
      <c r="AT73" s="183"/>
      <c r="AU73" s="183"/>
      <c r="AV73" s="183"/>
      <c r="AW73" s="183"/>
      <c r="AX73" s="183"/>
      <c r="AY73" s="183"/>
      <c r="AZ73" s="183"/>
      <c r="BA73" s="183"/>
      <c r="BB73" s="183"/>
    </row>
    <row r="74" spans="1:54" s="182" customFormat="1" ht="15">
      <c r="A74" s="187" t="s">
        <v>182</v>
      </c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9"/>
      <c r="M74" s="189"/>
      <c r="N74" s="189"/>
      <c r="O74" s="183"/>
      <c r="P74" s="183"/>
      <c r="Q74" s="184"/>
      <c r="R74" s="183"/>
      <c r="S74" s="183"/>
      <c r="T74" s="183"/>
      <c r="U74" s="185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  <c r="AF74" s="183"/>
      <c r="AG74" s="183"/>
      <c r="AH74" s="183"/>
      <c r="AI74" s="183"/>
      <c r="AJ74" s="183"/>
      <c r="AK74" s="183"/>
      <c r="AL74" s="183"/>
      <c r="AM74" s="183"/>
      <c r="AN74" s="183"/>
      <c r="AO74" s="183"/>
      <c r="AP74" s="183"/>
      <c r="AQ74" s="183"/>
      <c r="AR74" s="183"/>
      <c r="AS74" s="183"/>
      <c r="AT74" s="183"/>
      <c r="AU74" s="183"/>
      <c r="AV74" s="183"/>
      <c r="AW74" s="183"/>
      <c r="AX74" s="183"/>
      <c r="AY74" s="183"/>
      <c r="AZ74" s="183"/>
      <c r="BA74" s="183"/>
      <c r="BB74" s="183"/>
    </row>
    <row r="75" spans="12:54" s="10" customFormat="1" ht="12.75">
      <c r="L75" s="174"/>
      <c r="M75" s="174"/>
      <c r="N75" s="174"/>
      <c r="O75" s="174"/>
      <c r="P75" s="174"/>
      <c r="Q75" s="176"/>
      <c r="R75" s="174"/>
      <c r="S75" s="174"/>
      <c r="T75" s="174"/>
      <c r="U75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174"/>
      <c r="AI75" s="174"/>
      <c r="AJ75" s="174"/>
      <c r="AK75" s="174"/>
      <c r="AL75" s="174"/>
      <c r="AM75" s="174"/>
      <c r="AN75" s="174"/>
      <c r="AO75" s="174"/>
      <c r="AP75" s="174"/>
      <c r="AQ75" s="174"/>
      <c r="AR75" s="174"/>
      <c r="AS75" s="174"/>
      <c r="AT75" s="174"/>
      <c r="AU75" s="174"/>
      <c r="AV75" s="174"/>
      <c r="AW75" s="174"/>
      <c r="AX75" s="174"/>
      <c r="AY75" s="174"/>
      <c r="AZ75" s="174"/>
      <c r="BA75" s="174"/>
      <c r="BB75" s="174"/>
    </row>
    <row r="76" spans="12:54" s="10" customFormat="1" ht="12.75">
      <c r="L76" s="174"/>
      <c r="M76" s="174"/>
      <c r="N76" s="174"/>
      <c r="O76" s="174"/>
      <c r="P76" s="174"/>
      <c r="Q76" s="176"/>
      <c r="R76" s="174"/>
      <c r="S76" s="174"/>
      <c r="T76" s="174"/>
      <c r="U76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174"/>
      <c r="AN76" s="174"/>
      <c r="AO76" s="174"/>
      <c r="AP76" s="174"/>
      <c r="AQ76" s="174"/>
      <c r="AR76" s="174"/>
      <c r="AS76" s="174"/>
      <c r="AT76" s="174"/>
      <c r="AU76" s="174"/>
      <c r="AV76" s="174"/>
      <c r="AW76" s="174"/>
      <c r="AX76" s="174"/>
      <c r="AY76" s="174"/>
      <c r="AZ76" s="174"/>
      <c r="BA76" s="174"/>
      <c r="BB76" s="174"/>
    </row>
    <row r="77" spans="12:54" s="10" customFormat="1" ht="12.75">
      <c r="L77" s="174"/>
      <c r="M77" s="174"/>
      <c r="N77" s="174"/>
      <c r="O77" s="174"/>
      <c r="P77" s="174"/>
      <c r="Q77" s="176"/>
      <c r="R77" s="174"/>
      <c r="S77" s="174"/>
      <c r="T77" s="174"/>
      <c r="U77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P77" s="174"/>
      <c r="AQ77" s="174"/>
      <c r="AR77" s="174"/>
      <c r="AS77" s="174"/>
      <c r="AT77" s="174"/>
      <c r="AU77" s="174"/>
      <c r="AV77" s="174"/>
      <c r="AW77" s="174"/>
      <c r="AX77" s="174"/>
      <c r="AY77" s="174"/>
      <c r="AZ77" s="174"/>
      <c r="BA77" s="174"/>
      <c r="BB77" s="174"/>
    </row>
    <row r="78" spans="12:54" s="10" customFormat="1" ht="12.75">
      <c r="L78" s="174"/>
      <c r="M78" s="174"/>
      <c r="N78" s="174"/>
      <c r="O78" s="174"/>
      <c r="P78" s="174"/>
      <c r="Q78" s="176"/>
      <c r="R78" s="174"/>
      <c r="S78" s="174"/>
      <c r="T78" s="174"/>
      <c r="U78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74"/>
      <c r="AN78" s="174"/>
      <c r="AO78" s="174"/>
      <c r="AP78" s="174"/>
      <c r="AQ78" s="174"/>
      <c r="AR78" s="174"/>
      <c r="AS78" s="174"/>
      <c r="AT78" s="174"/>
      <c r="AU78" s="174"/>
      <c r="AV78" s="174"/>
      <c r="AW78" s="174"/>
      <c r="AX78" s="174"/>
      <c r="AY78" s="174"/>
      <c r="AZ78" s="174"/>
      <c r="BA78" s="174"/>
      <c r="BB78" s="174"/>
    </row>
    <row r="79" spans="12:54" s="10" customFormat="1" ht="12.75">
      <c r="L79" s="174"/>
      <c r="M79" s="174"/>
      <c r="N79" s="174"/>
      <c r="O79" s="174"/>
      <c r="P79" s="174"/>
      <c r="Q79" s="176"/>
      <c r="R79" s="174"/>
      <c r="S79" s="174"/>
      <c r="T79" s="174"/>
      <c r="U79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174"/>
      <c r="AN79" s="174"/>
      <c r="AO79" s="174"/>
      <c r="AP79" s="174"/>
      <c r="AQ79" s="174"/>
      <c r="AR79" s="174"/>
      <c r="AS79" s="174"/>
      <c r="AT79" s="174"/>
      <c r="AU79" s="174"/>
      <c r="AV79" s="174"/>
      <c r="AW79" s="174"/>
      <c r="AX79" s="174"/>
      <c r="AY79" s="174"/>
      <c r="AZ79" s="174"/>
      <c r="BA79" s="174"/>
      <c r="BB79" s="174"/>
    </row>
    <row r="80" spans="12:54" s="10" customFormat="1" ht="12.75">
      <c r="L80" s="174"/>
      <c r="M80" s="174"/>
      <c r="N80" s="174"/>
      <c r="O80" s="174"/>
      <c r="P80" s="174"/>
      <c r="Q80" s="176"/>
      <c r="R80" s="174"/>
      <c r="S80" s="174"/>
      <c r="T80" s="174"/>
      <c r="U80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174"/>
      <c r="AN80" s="174"/>
      <c r="AO80" s="174"/>
      <c r="AP80" s="174"/>
      <c r="AQ80" s="174"/>
      <c r="AR80" s="174"/>
      <c r="AS80" s="174"/>
      <c r="AT80" s="174"/>
      <c r="AU80" s="174"/>
      <c r="AV80" s="174"/>
      <c r="AW80" s="174"/>
      <c r="AX80" s="174"/>
      <c r="AY80" s="174"/>
      <c r="AZ80" s="174"/>
      <c r="BA80" s="174"/>
      <c r="BB80" s="174"/>
    </row>
    <row r="81" spans="12:54" s="10" customFormat="1" ht="12.75">
      <c r="L81" s="174"/>
      <c r="M81" s="174"/>
      <c r="N81" s="174"/>
      <c r="O81" s="174"/>
      <c r="P81" s="174"/>
      <c r="Q81" s="176"/>
      <c r="R81" s="174"/>
      <c r="S81" s="174"/>
      <c r="T81" s="174"/>
      <c r="U81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4"/>
      <c r="AT81" s="174"/>
      <c r="AU81" s="174"/>
      <c r="AV81" s="174"/>
      <c r="AW81" s="174"/>
      <c r="AX81" s="174"/>
      <c r="AY81" s="174"/>
      <c r="AZ81" s="174"/>
      <c r="BA81" s="174"/>
      <c r="BB81" s="174"/>
    </row>
    <row r="82" spans="12:54" s="10" customFormat="1" ht="12.75">
      <c r="L82" s="174"/>
      <c r="M82" s="174"/>
      <c r="N82" s="174"/>
      <c r="O82" s="174"/>
      <c r="P82" s="174"/>
      <c r="Q82" s="176"/>
      <c r="R82" s="174"/>
      <c r="S82" s="174"/>
      <c r="T82" s="174"/>
      <c r="U82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174"/>
      <c r="AN82" s="174"/>
      <c r="AO82" s="174"/>
      <c r="AP82" s="174"/>
      <c r="AQ82" s="174"/>
      <c r="AR82" s="174"/>
      <c r="AS82" s="174"/>
      <c r="AT82" s="174"/>
      <c r="AU82" s="174"/>
      <c r="AV82" s="174"/>
      <c r="AW82" s="174"/>
      <c r="AX82" s="174"/>
      <c r="AY82" s="174"/>
      <c r="AZ82" s="174"/>
      <c r="BA82" s="174"/>
      <c r="BB82" s="174"/>
    </row>
    <row r="83" spans="12:54" s="10" customFormat="1" ht="12.75">
      <c r="L83" s="174"/>
      <c r="M83" s="174"/>
      <c r="N83" s="174"/>
      <c r="O83" s="174"/>
      <c r="P83" s="174"/>
      <c r="Q83" s="176"/>
      <c r="R83" s="174"/>
      <c r="S83" s="174"/>
      <c r="T83" s="174"/>
      <c r="U83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4"/>
    </row>
    <row r="84" spans="12:54" s="10" customFormat="1" ht="12.75">
      <c r="L84" s="174"/>
      <c r="M84" s="174"/>
      <c r="N84" s="174"/>
      <c r="O84" s="174"/>
      <c r="P84" s="174"/>
      <c r="Q84" s="176"/>
      <c r="R84" s="174"/>
      <c r="S84" s="174"/>
      <c r="T84" s="174"/>
      <c r="U8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174"/>
      <c r="AN84" s="174"/>
      <c r="AO84" s="174"/>
      <c r="AP84" s="174"/>
      <c r="AQ84" s="174"/>
      <c r="AR84" s="174"/>
      <c r="AS84" s="174"/>
      <c r="AT84" s="174"/>
      <c r="AU84" s="174"/>
      <c r="AV84" s="174"/>
      <c r="AW84" s="174"/>
      <c r="AX84" s="174"/>
      <c r="AY84" s="174"/>
      <c r="AZ84" s="174"/>
      <c r="BA84" s="174"/>
      <c r="BB84" s="174"/>
    </row>
    <row r="85" spans="12:54" s="10" customFormat="1" ht="12.75">
      <c r="L85" s="174"/>
      <c r="M85" s="174"/>
      <c r="N85" s="174"/>
      <c r="O85" s="174"/>
      <c r="P85" s="174"/>
      <c r="Q85" s="176"/>
      <c r="R85" s="174"/>
      <c r="S85" s="174"/>
      <c r="T85" s="174"/>
      <c r="U85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174"/>
      <c r="AO85" s="174"/>
      <c r="AP85" s="174"/>
      <c r="AQ85" s="174"/>
      <c r="AR85" s="174"/>
      <c r="AS85" s="174"/>
      <c r="AT85" s="174"/>
      <c r="AU85" s="174"/>
      <c r="AV85" s="174"/>
      <c r="AW85" s="174"/>
      <c r="AX85" s="174"/>
      <c r="AY85" s="174"/>
      <c r="AZ85" s="174"/>
      <c r="BA85" s="174"/>
      <c r="BB85" s="174"/>
    </row>
    <row r="86" spans="12:54" s="10" customFormat="1" ht="12.75">
      <c r="L86" s="174"/>
      <c r="M86" s="174"/>
      <c r="N86" s="174"/>
      <c r="O86" s="174"/>
      <c r="P86" s="174"/>
      <c r="Q86" s="176"/>
      <c r="R86" s="174"/>
      <c r="S86" s="174"/>
      <c r="T86" s="174"/>
      <c r="U86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  <c r="AJ86" s="174"/>
      <c r="AK86" s="174"/>
      <c r="AL86" s="174"/>
      <c r="AM86" s="174"/>
      <c r="AN86" s="174"/>
      <c r="AO86" s="174"/>
      <c r="AP86" s="174"/>
      <c r="AQ86" s="174"/>
      <c r="AR86" s="174"/>
      <c r="AS86" s="174"/>
      <c r="AT86" s="174"/>
      <c r="AU86" s="174"/>
      <c r="AV86" s="174"/>
      <c r="AW86" s="174"/>
      <c r="AX86" s="174"/>
      <c r="AY86" s="174"/>
      <c r="AZ86" s="174"/>
      <c r="BA86" s="174"/>
      <c r="BB86" s="174"/>
    </row>
    <row r="87" spans="12:54" s="10" customFormat="1" ht="12.75">
      <c r="L87" s="174"/>
      <c r="M87" s="174"/>
      <c r="N87" s="174"/>
      <c r="O87" s="174"/>
      <c r="P87" s="174"/>
      <c r="Q87" s="176"/>
      <c r="R87" s="174"/>
      <c r="S87" s="174"/>
      <c r="T87" s="174"/>
      <c r="U87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174"/>
      <c r="AI87" s="174"/>
      <c r="AJ87" s="174"/>
      <c r="AK87" s="174"/>
      <c r="AL87" s="174"/>
      <c r="AM87" s="174"/>
      <c r="AN87" s="174"/>
      <c r="AO87" s="174"/>
      <c r="AP87" s="174"/>
      <c r="AQ87" s="174"/>
      <c r="AR87" s="174"/>
      <c r="AS87" s="174"/>
      <c r="AT87" s="174"/>
      <c r="AU87" s="174"/>
      <c r="AV87" s="174"/>
      <c r="AW87" s="174"/>
      <c r="AX87" s="174"/>
      <c r="AY87" s="174"/>
      <c r="AZ87" s="174"/>
      <c r="BA87" s="174"/>
      <c r="BB87" s="174"/>
    </row>
    <row r="88" spans="12:54" s="10" customFormat="1" ht="12.75">
      <c r="L88" s="174"/>
      <c r="M88" s="174"/>
      <c r="N88" s="174"/>
      <c r="O88" s="174"/>
      <c r="P88" s="174"/>
      <c r="Q88" s="176"/>
      <c r="R88" s="174"/>
      <c r="S88" s="174"/>
      <c r="T88" s="174"/>
      <c r="U88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H88" s="174"/>
      <c r="AI88" s="174"/>
      <c r="AJ88" s="174"/>
      <c r="AK88" s="174"/>
      <c r="AL88" s="174"/>
      <c r="AM88" s="174"/>
      <c r="AN88" s="174"/>
      <c r="AO88" s="174"/>
      <c r="AP88" s="174"/>
      <c r="AQ88" s="174"/>
      <c r="AR88" s="174"/>
      <c r="AS88" s="174"/>
      <c r="AT88" s="174"/>
      <c r="AU88" s="174"/>
      <c r="AV88" s="174"/>
      <c r="AW88" s="174"/>
      <c r="AX88" s="174"/>
      <c r="AY88" s="174"/>
      <c r="AZ88" s="174"/>
      <c r="BA88" s="174"/>
      <c r="BB88" s="174"/>
    </row>
    <row r="89" spans="12:54" s="10" customFormat="1" ht="12.75">
      <c r="L89" s="174"/>
      <c r="M89" s="174"/>
      <c r="N89" s="174"/>
      <c r="O89" s="174"/>
      <c r="P89" s="174"/>
      <c r="Q89" s="176"/>
      <c r="R89" s="174"/>
      <c r="S89" s="174"/>
      <c r="T89" s="174"/>
      <c r="U89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  <c r="AG89" s="174"/>
      <c r="AH89" s="174"/>
      <c r="AI89" s="174"/>
      <c r="AJ89" s="174"/>
      <c r="AK89" s="174"/>
      <c r="AL89" s="174"/>
      <c r="AM89" s="174"/>
      <c r="AN89" s="174"/>
      <c r="AO89" s="174"/>
      <c r="AP89" s="174"/>
      <c r="AQ89" s="174"/>
      <c r="AR89" s="174"/>
      <c r="AS89" s="174"/>
      <c r="AT89" s="174"/>
      <c r="AU89" s="174"/>
      <c r="AV89" s="174"/>
      <c r="AW89" s="174"/>
      <c r="AX89" s="174"/>
      <c r="AY89" s="174"/>
      <c r="AZ89" s="174"/>
      <c r="BA89" s="174"/>
      <c r="BB89" s="174"/>
    </row>
    <row r="90" spans="12:54" s="10" customFormat="1" ht="12.75">
      <c r="L90" s="174"/>
      <c r="M90" s="174"/>
      <c r="N90" s="174"/>
      <c r="O90" s="174"/>
      <c r="P90" s="174"/>
      <c r="Q90" s="176"/>
      <c r="R90" s="174"/>
      <c r="S90" s="174"/>
      <c r="T90" s="174"/>
      <c r="U90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4"/>
      <c r="AH90" s="174"/>
      <c r="AI90" s="174"/>
      <c r="AJ90" s="174"/>
      <c r="AK90" s="174"/>
      <c r="AL90" s="174"/>
      <c r="AM90" s="174"/>
      <c r="AN90" s="174"/>
      <c r="AO90" s="174"/>
      <c r="AP90" s="174"/>
      <c r="AQ90" s="174"/>
      <c r="AR90" s="174"/>
      <c r="AS90" s="174"/>
      <c r="AT90" s="174"/>
      <c r="AU90" s="174"/>
      <c r="AV90" s="174"/>
      <c r="AW90" s="174"/>
      <c r="AX90" s="174"/>
      <c r="AY90" s="174"/>
      <c r="AZ90" s="174"/>
      <c r="BA90" s="174"/>
      <c r="BB90" s="174"/>
    </row>
    <row r="91" spans="12:54" s="10" customFormat="1" ht="12.75">
      <c r="L91" s="174"/>
      <c r="M91" s="174"/>
      <c r="N91" s="174"/>
      <c r="O91" s="174"/>
      <c r="P91" s="174"/>
      <c r="Q91" s="176"/>
      <c r="R91" s="174"/>
      <c r="S91" s="174"/>
      <c r="T91" s="174"/>
      <c r="U91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4"/>
      <c r="AJ91" s="174"/>
      <c r="AK91" s="174"/>
      <c r="AL91" s="174"/>
      <c r="AM91" s="174"/>
      <c r="AN91" s="174"/>
      <c r="AO91" s="174"/>
      <c r="AP91" s="174"/>
      <c r="AQ91" s="174"/>
      <c r="AR91" s="174"/>
      <c r="AS91" s="174"/>
      <c r="AT91" s="174"/>
      <c r="AU91" s="174"/>
      <c r="AV91" s="174"/>
      <c r="AW91" s="174"/>
      <c r="AX91" s="174"/>
      <c r="AY91" s="174"/>
      <c r="AZ91" s="174"/>
      <c r="BA91" s="174"/>
      <c r="BB91" s="174"/>
    </row>
    <row r="92" spans="12:54" s="10" customFormat="1" ht="12.75">
      <c r="L92" s="174"/>
      <c r="M92" s="174"/>
      <c r="N92" s="174"/>
      <c r="O92" s="174"/>
      <c r="P92" s="174"/>
      <c r="Q92" s="176"/>
      <c r="R92" s="174"/>
      <c r="S92" s="174"/>
      <c r="T92" s="174"/>
      <c r="U92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4"/>
      <c r="AH92" s="174"/>
      <c r="AI92" s="174"/>
      <c r="AJ92" s="174"/>
      <c r="AK92" s="174"/>
      <c r="AL92" s="174"/>
      <c r="AM92" s="174"/>
      <c r="AN92" s="174"/>
      <c r="AO92" s="174"/>
      <c r="AP92" s="174"/>
      <c r="AQ92" s="174"/>
      <c r="AR92" s="174"/>
      <c r="AS92" s="174"/>
      <c r="AT92" s="174"/>
      <c r="AU92" s="174"/>
      <c r="AV92" s="174"/>
      <c r="AW92" s="174"/>
      <c r="AX92" s="174"/>
      <c r="AY92" s="174"/>
      <c r="AZ92" s="174"/>
      <c r="BA92" s="174"/>
      <c r="BB92" s="174"/>
    </row>
    <row r="93" spans="12:54" s="10" customFormat="1" ht="12.75">
      <c r="L93" s="174"/>
      <c r="M93" s="174"/>
      <c r="N93" s="174"/>
      <c r="O93" s="174"/>
      <c r="P93" s="174"/>
      <c r="Q93" s="176"/>
      <c r="R93" s="174"/>
      <c r="S93" s="174"/>
      <c r="T93" s="174"/>
      <c r="U93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  <c r="AG93" s="174"/>
      <c r="AH93" s="174"/>
      <c r="AI93" s="174"/>
      <c r="AJ93" s="174"/>
      <c r="AK93" s="174"/>
      <c r="AL93" s="174"/>
      <c r="AM93" s="174"/>
      <c r="AN93" s="174"/>
      <c r="AO93" s="174"/>
      <c r="AP93" s="174"/>
      <c r="AQ93" s="174"/>
      <c r="AR93" s="174"/>
      <c r="AS93" s="174"/>
      <c r="AT93" s="174"/>
      <c r="AU93" s="174"/>
      <c r="AV93" s="174"/>
      <c r="AW93" s="174"/>
      <c r="AX93" s="174"/>
      <c r="AY93" s="174"/>
      <c r="AZ93" s="174"/>
      <c r="BA93" s="174"/>
      <c r="BB93" s="174"/>
    </row>
    <row r="94" spans="12:54" s="10" customFormat="1" ht="12.75">
      <c r="L94" s="174"/>
      <c r="M94" s="174"/>
      <c r="N94" s="174"/>
      <c r="O94" s="174"/>
      <c r="P94" s="174"/>
      <c r="Q94" s="176"/>
      <c r="R94" s="174"/>
      <c r="S94" s="174"/>
      <c r="T94" s="174"/>
      <c r="U9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74"/>
      <c r="AJ94" s="174"/>
      <c r="AK94" s="174"/>
      <c r="AL94" s="174"/>
      <c r="AM94" s="174"/>
      <c r="AN94" s="174"/>
      <c r="AO94" s="174"/>
      <c r="AP94" s="174"/>
      <c r="AQ94" s="174"/>
      <c r="AR94" s="174"/>
      <c r="AS94" s="174"/>
      <c r="AT94" s="174"/>
      <c r="AU94" s="174"/>
      <c r="AV94" s="174"/>
      <c r="AW94" s="174"/>
      <c r="AX94" s="174"/>
      <c r="AY94" s="174"/>
      <c r="AZ94" s="174"/>
      <c r="BA94" s="174"/>
      <c r="BB94" s="174"/>
    </row>
    <row r="95" spans="12:54" s="10" customFormat="1" ht="12.75">
      <c r="L95" s="174"/>
      <c r="M95" s="174"/>
      <c r="N95" s="174"/>
      <c r="O95" s="174"/>
      <c r="P95" s="174"/>
      <c r="Q95" s="176"/>
      <c r="R95" s="174"/>
      <c r="S95" s="174"/>
      <c r="T95" s="174"/>
      <c r="U95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4"/>
      <c r="AL95" s="174"/>
      <c r="AM95" s="174"/>
      <c r="AN95" s="174"/>
      <c r="AO95" s="174"/>
      <c r="AP95" s="174"/>
      <c r="AQ95" s="174"/>
      <c r="AR95" s="174"/>
      <c r="AS95" s="174"/>
      <c r="AT95" s="174"/>
      <c r="AU95" s="174"/>
      <c r="AV95" s="174"/>
      <c r="AW95" s="174"/>
      <c r="AX95" s="174"/>
      <c r="AY95" s="174"/>
      <c r="AZ95" s="174"/>
      <c r="BA95" s="174"/>
      <c r="BB95" s="174"/>
    </row>
    <row r="96" spans="12:54" s="10" customFormat="1" ht="12.75">
      <c r="L96" s="174"/>
      <c r="M96" s="174"/>
      <c r="N96" s="174"/>
      <c r="O96" s="174"/>
      <c r="P96" s="174"/>
      <c r="Q96" s="176"/>
      <c r="R96" s="174"/>
      <c r="S96" s="174"/>
      <c r="T96" s="174"/>
      <c r="U96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  <c r="AH96" s="174"/>
      <c r="AI96" s="174"/>
      <c r="AJ96" s="174"/>
      <c r="AK96" s="174"/>
      <c r="AL96" s="174"/>
      <c r="AM96" s="174"/>
      <c r="AN96" s="174"/>
      <c r="AO96" s="174"/>
      <c r="AP96" s="174"/>
      <c r="AQ96" s="174"/>
      <c r="AR96" s="174"/>
      <c r="AS96" s="174"/>
      <c r="AT96" s="174"/>
      <c r="AU96" s="174"/>
      <c r="AV96" s="174"/>
      <c r="AW96" s="174"/>
      <c r="AX96" s="174"/>
      <c r="AY96" s="174"/>
      <c r="AZ96" s="174"/>
      <c r="BA96" s="174"/>
      <c r="BB96" s="174"/>
    </row>
    <row r="97" spans="12:54" s="10" customFormat="1" ht="12.75">
      <c r="L97" s="174"/>
      <c r="M97" s="174"/>
      <c r="N97" s="174"/>
      <c r="O97" s="174"/>
      <c r="P97" s="174"/>
      <c r="Q97" s="176"/>
      <c r="R97" s="174"/>
      <c r="S97" s="174"/>
      <c r="T97" s="174"/>
      <c r="U97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  <c r="AH97" s="174"/>
      <c r="AI97" s="174"/>
      <c r="AJ97" s="174"/>
      <c r="AK97" s="174"/>
      <c r="AL97" s="174"/>
      <c r="AM97" s="174"/>
      <c r="AN97" s="174"/>
      <c r="AO97" s="174"/>
      <c r="AP97" s="174"/>
      <c r="AQ97" s="174"/>
      <c r="AR97" s="174"/>
      <c r="AS97" s="174"/>
      <c r="AT97" s="174"/>
      <c r="AU97" s="174"/>
      <c r="AV97" s="174"/>
      <c r="AW97" s="174"/>
      <c r="AX97" s="174"/>
      <c r="AY97" s="174"/>
      <c r="AZ97" s="174"/>
      <c r="BA97" s="174"/>
      <c r="BB97" s="174"/>
    </row>
    <row r="98" spans="12:54" s="10" customFormat="1" ht="12.75">
      <c r="L98" s="174"/>
      <c r="M98" s="174"/>
      <c r="N98" s="174"/>
      <c r="O98" s="174"/>
      <c r="P98" s="174"/>
      <c r="Q98" s="176"/>
      <c r="R98" s="174"/>
      <c r="S98" s="174"/>
      <c r="T98" s="174"/>
      <c r="U98"/>
      <c r="V98" s="174"/>
      <c r="W98" s="174"/>
      <c r="X98" s="174"/>
      <c r="Y98" s="174"/>
      <c r="Z98" s="174"/>
      <c r="AA98" s="174"/>
      <c r="AB98" s="174"/>
      <c r="AC98" s="174"/>
      <c r="AD98" s="174"/>
      <c r="AE98" s="174"/>
      <c r="AF98" s="174"/>
      <c r="AG98" s="174"/>
      <c r="AH98" s="174"/>
      <c r="AI98" s="174"/>
      <c r="AJ98" s="174"/>
      <c r="AK98" s="174"/>
      <c r="AL98" s="174"/>
      <c r="AM98" s="174"/>
      <c r="AN98" s="174"/>
      <c r="AO98" s="174"/>
      <c r="AP98" s="174"/>
      <c r="AQ98" s="174"/>
      <c r="AR98" s="174"/>
      <c r="AS98" s="174"/>
      <c r="AT98" s="174"/>
      <c r="AU98" s="174"/>
      <c r="AV98" s="174"/>
      <c r="AW98" s="174"/>
      <c r="AX98" s="174"/>
      <c r="AY98" s="174"/>
      <c r="AZ98" s="174"/>
      <c r="BA98" s="174"/>
      <c r="BB98" s="174"/>
    </row>
    <row r="99" spans="12:54" s="10" customFormat="1" ht="12.75">
      <c r="L99" s="174"/>
      <c r="M99" s="174"/>
      <c r="N99" s="174"/>
      <c r="O99" s="174"/>
      <c r="P99" s="174"/>
      <c r="Q99" s="176"/>
      <c r="R99" s="174"/>
      <c r="S99" s="174"/>
      <c r="T99" s="174"/>
      <c r="U99"/>
      <c r="V99" s="174"/>
      <c r="W99" s="174"/>
      <c r="X99" s="174"/>
      <c r="Y99" s="174"/>
      <c r="Z99" s="174"/>
      <c r="AA99" s="174"/>
      <c r="AB99" s="174"/>
      <c r="AC99" s="174"/>
      <c r="AD99" s="174"/>
      <c r="AE99" s="174"/>
      <c r="AF99" s="174"/>
      <c r="AG99" s="174"/>
      <c r="AH99" s="174"/>
      <c r="AI99" s="174"/>
      <c r="AJ99" s="174"/>
      <c r="AK99" s="174"/>
      <c r="AL99" s="174"/>
      <c r="AM99" s="174"/>
      <c r="AN99" s="174"/>
      <c r="AO99" s="174"/>
      <c r="AP99" s="174"/>
      <c r="AQ99" s="174"/>
      <c r="AR99" s="174"/>
      <c r="AS99" s="174"/>
      <c r="AT99" s="174"/>
      <c r="AU99" s="174"/>
      <c r="AV99" s="174"/>
      <c r="AW99" s="174"/>
      <c r="AX99" s="174"/>
      <c r="AY99" s="174"/>
      <c r="AZ99" s="174"/>
      <c r="BA99" s="174"/>
      <c r="BB99" s="174"/>
    </row>
    <row r="100" spans="12:54" s="10" customFormat="1" ht="12.75">
      <c r="L100" s="174"/>
      <c r="M100" s="174"/>
      <c r="N100" s="174"/>
      <c r="O100" s="174"/>
      <c r="P100" s="174"/>
      <c r="Q100" s="176"/>
      <c r="R100" s="174"/>
      <c r="S100" s="174"/>
      <c r="T100" s="174"/>
      <c r="U100"/>
      <c r="V100" s="174"/>
      <c r="W100" s="174"/>
      <c r="X100" s="174"/>
      <c r="Y100" s="174"/>
      <c r="Z100" s="174"/>
      <c r="AA100" s="174"/>
      <c r="AB100" s="174"/>
      <c r="AC100" s="174"/>
      <c r="AD100" s="174"/>
      <c r="AE100" s="174"/>
      <c r="AF100" s="174"/>
      <c r="AG100" s="174"/>
      <c r="AH100" s="174"/>
      <c r="AI100" s="174"/>
      <c r="AJ100" s="174"/>
      <c r="AK100" s="174"/>
      <c r="AL100" s="174"/>
      <c r="AM100" s="174"/>
      <c r="AN100" s="174"/>
      <c r="AO100" s="174"/>
      <c r="AP100" s="174"/>
      <c r="AQ100" s="174"/>
      <c r="AR100" s="174"/>
      <c r="AS100" s="174"/>
      <c r="AT100" s="174"/>
      <c r="AU100" s="174"/>
      <c r="AV100" s="174"/>
      <c r="AW100" s="174"/>
      <c r="AX100" s="174"/>
      <c r="AY100" s="174"/>
      <c r="AZ100" s="174"/>
      <c r="BA100" s="174"/>
      <c r="BB100" s="174"/>
    </row>
    <row r="101" spans="12:54" s="10" customFormat="1" ht="12.75">
      <c r="L101" s="174"/>
      <c r="M101" s="174"/>
      <c r="N101" s="174"/>
      <c r="O101" s="174"/>
      <c r="P101" s="174"/>
      <c r="Q101" s="176"/>
      <c r="R101" s="174"/>
      <c r="S101" s="174"/>
      <c r="T101" s="174"/>
      <c r="U101"/>
      <c r="V101" s="174"/>
      <c r="W101" s="174"/>
      <c r="X101" s="174"/>
      <c r="Y101" s="174"/>
      <c r="Z101" s="174"/>
      <c r="AA101" s="174"/>
      <c r="AB101" s="174"/>
      <c r="AC101" s="174"/>
      <c r="AD101" s="174"/>
      <c r="AE101" s="174"/>
      <c r="AF101" s="174"/>
      <c r="AG101" s="174"/>
      <c r="AH101" s="174"/>
      <c r="AI101" s="174"/>
      <c r="AJ101" s="174"/>
      <c r="AK101" s="174"/>
      <c r="AL101" s="174"/>
      <c r="AM101" s="174"/>
      <c r="AN101" s="174"/>
      <c r="AO101" s="174"/>
      <c r="AP101" s="174"/>
      <c r="AQ101" s="174"/>
      <c r="AR101" s="174"/>
      <c r="AS101" s="174"/>
      <c r="AT101" s="174"/>
      <c r="AU101" s="174"/>
      <c r="AV101" s="174"/>
      <c r="AW101" s="174"/>
      <c r="AX101" s="174"/>
      <c r="AY101" s="174"/>
      <c r="AZ101" s="174"/>
      <c r="BA101" s="174"/>
      <c r="BB101" s="174"/>
    </row>
    <row r="102" spans="12:54" s="10" customFormat="1" ht="12.75">
      <c r="L102" s="174"/>
      <c r="M102" s="174"/>
      <c r="N102" s="174"/>
      <c r="O102" s="174"/>
      <c r="P102" s="174"/>
      <c r="Q102" s="176"/>
      <c r="R102" s="174"/>
      <c r="S102" s="174"/>
      <c r="T102" s="174"/>
      <c r="U102"/>
      <c r="V102" s="174"/>
      <c r="W102" s="174"/>
      <c r="X102" s="174"/>
      <c r="Y102" s="174"/>
      <c r="Z102" s="174"/>
      <c r="AA102" s="174"/>
      <c r="AB102" s="174"/>
      <c r="AC102" s="174"/>
      <c r="AD102" s="174"/>
      <c r="AE102" s="174"/>
      <c r="AF102" s="174"/>
      <c r="AG102" s="174"/>
      <c r="AH102" s="174"/>
      <c r="AI102" s="174"/>
      <c r="AJ102" s="174"/>
      <c r="AK102" s="174"/>
      <c r="AL102" s="174"/>
      <c r="AM102" s="174"/>
      <c r="AN102" s="174"/>
      <c r="AO102" s="174"/>
      <c r="AP102" s="174"/>
      <c r="AQ102" s="174"/>
      <c r="AR102" s="174"/>
      <c r="AS102" s="174"/>
      <c r="AT102" s="174"/>
      <c r="AU102" s="174"/>
      <c r="AV102" s="174"/>
      <c r="AW102" s="174"/>
      <c r="AX102" s="174"/>
      <c r="AY102" s="174"/>
      <c r="AZ102" s="174"/>
      <c r="BA102" s="174"/>
      <c r="BB102" s="174"/>
    </row>
    <row r="103" spans="12:54" s="10" customFormat="1" ht="12.75">
      <c r="L103" s="174"/>
      <c r="M103" s="174"/>
      <c r="N103" s="174"/>
      <c r="O103" s="174"/>
      <c r="P103" s="174"/>
      <c r="Q103" s="176"/>
      <c r="R103" s="174"/>
      <c r="S103" s="174"/>
      <c r="T103" s="174"/>
      <c r="U103"/>
      <c r="V103" s="174"/>
      <c r="W103" s="174"/>
      <c r="X103" s="174"/>
      <c r="Y103" s="174"/>
      <c r="Z103" s="174"/>
      <c r="AA103" s="174"/>
      <c r="AB103" s="174"/>
      <c r="AC103" s="174"/>
      <c r="AD103" s="174"/>
      <c r="AE103" s="174"/>
      <c r="AF103" s="174"/>
      <c r="AG103" s="174"/>
      <c r="AH103" s="174"/>
      <c r="AI103" s="174"/>
      <c r="AJ103" s="174"/>
      <c r="AK103" s="174"/>
      <c r="AL103" s="174"/>
      <c r="AM103" s="174"/>
      <c r="AN103" s="174"/>
      <c r="AO103" s="174"/>
      <c r="AP103" s="174"/>
      <c r="AQ103" s="174"/>
      <c r="AR103" s="174"/>
      <c r="AS103" s="174"/>
      <c r="AT103" s="174"/>
      <c r="AU103" s="174"/>
      <c r="AV103" s="174"/>
      <c r="AW103" s="174"/>
      <c r="AX103" s="174"/>
      <c r="AY103" s="174"/>
      <c r="AZ103" s="174"/>
      <c r="BA103" s="174"/>
      <c r="BB103" s="174"/>
    </row>
    <row r="104" spans="12:54" s="10" customFormat="1" ht="12.75">
      <c r="L104" s="174"/>
      <c r="M104" s="174"/>
      <c r="N104" s="174"/>
      <c r="O104" s="174"/>
      <c r="P104" s="174"/>
      <c r="Q104" s="176"/>
      <c r="R104" s="174"/>
      <c r="S104" s="174"/>
      <c r="T104" s="174"/>
      <c r="U104"/>
      <c r="V104" s="174"/>
      <c r="W104" s="174"/>
      <c r="X104" s="174"/>
      <c r="Y104" s="174"/>
      <c r="Z104" s="174"/>
      <c r="AA104" s="174"/>
      <c r="AB104" s="174"/>
      <c r="AC104" s="174"/>
      <c r="AD104" s="174"/>
      <c r="AE104" s="174"/>
      <c r="AF104" s="174"/>
      <c r="AG104" s="174"/>
      <c r="AH104" s="174"/>
      <c r="AI104" s="174"/>
      <c r="AJ104" s="174"/>
      <c r="AK104" s="174"/>
      <c r="AL104" s="174"/>
      <c r="AM104" s="174"/>
      <c r="AN104" s="174"/>
      <c r="AO104" s="174"/>
      <c r="AP104" s="174"/>
      <c r="AQ104" s="174"/>
      <c r="AR104" s="174"/>
      <c r="AS104" s="174"/>
      <c r="AT104" s="174"/>
      <c r="AU104" s="174"/>
      <c r="AV104" s="174"/>
      <c r="AW104" s="174"/>
      <c r="AX104" s="174"/>
      <c r="AY104" s="174"/>
      <c r="AZ104" s="174"/>
      <c r="BA104" s="174"/>
      <c r="BB104" s="174"/>
    </row>
    <row r="105" spans="12:54" s="10" customFormat="1" ht="12.75">
      <c r="L105" s="174"/>
      <c r="M105" s="174"/>
      <c r="N105" s="174"/>
      <c r="O105" s="174"/>
      <c r="P105" s="174"/>
      <c r="Q105" s="176"/>
      <c r="R105" s="174"/>
      <c r="S105" s="174"/>
      <c r="T105" s="174"/>
      <c r="U105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4"/>
      <c r="AT105" s="174"/>
      <c r="AU105" s="174"/>
      <c r="AV105" s="174"/>
      <c r="AW105" s="174"/>
      <c r="AX105" s="174"/>
      <c r="AY105" s="174"/>
      <c r="AZ105" s="174"/>
      <c r="BA105" s="174"/>
      <c r="BB105" s="174"/>
    </row>
    <row r="106" spans="12:54" s="10" customFormat="1" ht="12.75">
      <c r="L106" s="174"/>
      <c r="M106" s="174"/>
      <c r="N106" s="174"/>
      <c r="O106" s="174"/>
      <c r="P106" s="174"/>
      <c r="Q106" s="176"/>
      <c r="R106" s="174"/>
      <c r="S106" s="174"/>
      <c r="T106" s="174"/>
      <c r="U106"/>
      <c r="V106" s="174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  <c r="AG106" s="174"/>
      <c r="AH106" s="174"/>
      <c r="AI106" s="174"/>
      <c r="AJ106" s="174"/>
      <c r="AK106" s="174"/>
      <c r="AL106" s="174"/>
      <c r="AM106" s="174"/>
      <c r="AN106" s="174"/>
      <c r="AO106" s="174"/>
      <c r="AP106" s="174"/>
      <c r="AQ106" s="174"/>
      <c r="AR106" s="174"/>
      <c r="AS106" s="174"/>
      <c r="AT106" s="174"/>
      <c r="AU106" s="174"/>
      <c r="AV106" s="174"/>
      <c r="AW106" s="174"/>
      <c r="AX106" s="174"/>
      <c r="AY106" s="174"/>
      <c r="AZ106" s="174"/>
      <c r="BA106" s="174"/>
      <c r="BB106" s="174"/>
    </row>
    <row r="107" spans="12:54" s="10" customFormat="1" ht="12.75">
      <c r="L107" s="174"/>
      <c r="M107" s="174"/>
      <c r="N107" s="174"/>
      <c r="O107" s="174"/>
      <c r="P107" s="174"/>
      <c r="Q107" s="176"/>
      <c r="R107" s="174"/>
      <c r="S107" s="174"/>
      <c r="T107" s="174"/>
      <c r="U107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4"/>
      <c r="BA107" s="174"/>
      <c r="BB107" s="174"/>
    </row>
    <row r="108" spans="12:54" s="10" customFormat="1" ht="12.75">
      <c r="L108" s="174"/>
      <c r="M108" s="174"/>
      <c r="N108" s="174"/>
      <c r="O108" s="174"/>
      <c r="P108" s="174"/>
      <c r="Q108" s="176"/>
      <c r="R108" s="174"/>
      <c r="S108" s="174"/>
      <c r="T108" s="174"/>
      <c r="U108"/>
      <c r="V108" s="174"/>
      <c r="W108" s="174"/>
      <c r="X108" s="174"/>
      <c r="Y108" s="174"/>
      <c r="Z108" s="174"/>
      <c r="AA108" s="174"/>
      <c r="AB108" s="174"/>
      <c r="AC108" s="174"/>
      <c r="AD108" s="174"/>
      <c r="AE108" s="174"/>
      <c r="AF108" s="174"/>
      <c r="AG108" s="174"/>
      <c r="AH108" s="174"/>
      <c r="AI108" s="174"/>
      <c r="AJ108" s="174"/>
      <c r="AK108" s="174"/>
      <c r="AL108" s="174"/>
      <c r="AM108" s="174"/>
      <c r="AN108" s="174"/>
      <c r="AO108" s="174"/>
      <c r="AP108" s="174"/>
      <c r="AQ108" s="174"/>
      <c r="AR108" s="174"/>
      <c r="AS108" s="174"/>
      <c r="AT108" s="174"/>
      <c r="AU108" s="174"/>
      <c r="AV108" s="174"/>
      <c r="AW108" s="174"/>
      <c r="AX108" s="174"/>
      <c r="AY108" s="174"/>
      <c r="AZ108" s="174"/>
      <c r="BA108" s="174"/>
      <c r="BB108" s="174"/>
    </row>
    <row r="109" spans="12:54" s="10" customFormat="1" ht="12.75">
      <c r="L109" s="174"/>
      <c r="M109" s="174"/>
      <c r="N109" s="174"/>
      <c r="O109" s="174"/>
      <c r="P109" s="174"/>
      <c r="Q109" s="176"/>
      <c r="R109" s="174"/>
      <c r="S109" s="174"/>
      <c r="T109" s="174"/>
      <c r="U109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74"/>
      <c r="AK109" s="174"/>
      <c r="AL109" s="174"/>
      <c r="AM109" s="174"/>
      <c r="AN109" s="174"/>
      <c r="AO109" s="174"/>
      <c r="AP109" s="174"/>
      <c r="AQ109" s="174"/>
      <c r="AR109" s="174"/>
      <c r="AS109" s="174"/>
      <c r="AT109" s="174"/>
      <c r="AU109" s="174"/>
      <c r="AV109" s="174"/>
      <c r="AW109" s="174"/>
      <c r="AX109" s="174"/>
      <c r="AY109" s="174"/>
      <c r="AZ109" s="174"/>
      <c r="BA109" s="174"/>
      <c r="BB109" s="174"/>
    </row>
    <row r="110" spans="12:54" s="10" customFormat="1" ht="12.75">
      <c r="L110" s="174"/>
      <c r="M110" s="174"/>
      <c r="N110" s="174"/>
      <c r="O110" s="174"/>
      <c r="P110" s="174"/>
      <c r="Q110" s="176"/>
      <c r="R110" s="174"/>
      <c r="S110" s="174"/>
      <c r="T110" s="174"/>
      <c r="U110"/>
      <c r="V110" s="174"/>
      <c r="W110" s="174"/>
      <c r="X110" s="174"/>
      <c r="Y110" s="174"/>
      <c r="Z110" s="174"/>
      <c r="AA110" s="174"/>
      <c r="AB110" s="174"/>
      <c r="AC110" s="174"/>
      <c r="AD110" s="174"/>
      <c r="AE110" s="174"/>
      <c r="AF110" s="174"/>
      <c r="AG110" s="174"/>
      <c r="AH110" s="174"/>
      <c r="AI110" s="174"/>
      <c r="AJ110" s="174"/>
      <c r="AK110" s="174"/>
      <c r="AL110" s="174"/>
      <c r="AM110" s="174"/>
      <c r="AN110" s="174"/>
      <c r="AO110" s="174"/>
      <c r="AP110" s="174"/>
      <c r="AQ110" s="174"/>
      <c r="AR110" s="174"/>
      <c r="AS110" s="174"/>
      <c r="AT110" s="174"/>
      <c r="AU110" s="174"/>
      <c r="AV110" s="174"/>
      <c r="AW110" s="174"/>
      <c r="AX110" s="174"/>
      <c r="AY110" s="174"/>
      <c r="AZ110" s="174"/>
      <c r="BA110" s="174"/>
      <c r="BB110" s="174"/>
    </row>
    <row r="111" spans="12:54" s="10" customFormat="1" ht="12.75">
      <c r="L111" s="174"/>
      <c r="M111" s="174"/>
      <c r="N111" s="174"/>
      <c r="O111" s="174"/>
      <c r="P111" s="174"/>
      <c r="Q111" s="176"/>
      <c r="R111" s="174"/>
      <c r="S111" s="174"/>
      <c r="T111" s="174"/>
      <c r="U111"/>
      <c r="V111" s="174"/>
      <c r="W111" s="174"/>
      <c r="X111" s="174"/>
      <c r="Y111" s="174"/>
      <c r="Z111" s="174"/>
      <c r="AA111" s="174"/>
      <c r="AB111" s="174"/>
      <c r="AC111" s="174"/>
      <c r="AD111" s="174"/>
      <c r="AE111" s="174"/>
      <c r="AF111" s="174"/>
      <c r="AG111" s="174"/>
      <c r="AH111" s="174"/>
      <c r="AI111" s="174"/>
      <c r="AJ111" s="174"/>
      <c r="AK111" s="174"/>
      <c r="AL111" s="174"/>
      <c r="AM111" s="174"/>
      <c r="AN111" s="174"/>
      <c r="AO111" s="174"/>
      <c r="AP111" s="174"/>
      <c r="AQ111" s="174"/>
      <c r="AR111" s="174"/>
      <c r="AS111" s="174"/>
      <c r="AT111" s="174"/>
      <c r="AU111" s="174"/>
      <c r="AV111" s="174"/>
      <c r="AW111" s="174"/>
      <c r="AX111" s="174"/>
      <c r="AY111" s="174"/>
      <c r="AZ111" s="174"/>
      <c r="BA111" s="174"/>
      <c r="BB111" s="174"/>
    </row>
    <row r="112" spans="12:54" s="10" customFormat="1" ht="12.75">
      <c r="L112" s="174"/>
      <c r="M112" s="174"/>
      <c r="N112" s="174"/>
      <c r="O112" s="174"/>
      <c r="P112" s="174"/>
      <c r="Q112" s="176"/>
      <c r="R112" s="174"/>
      <c r="S112" s="174"/>
      <c r="T112" s="174"/>
      <c r="U112"/>
      <c r="V112" s="174"/>
      <c r="W112" s="174"/>
      <c r="X112" s="174"/>
      <c r="Y112" s="174"/>
      <c r="Z112" s="174"/>
      <c r="AA112" s="174"/>
      <c r="AB112" s="174"/>
      <c r="AC112" s="174"/>
      <c r="AD112" s="174"/>
      <c r="AE112" s="174"/>
      <c r="AF112" s="174"/>
      <c r="AG112" s="174"/>
      <c r="AH112" s="174"/>
      <c r="AI112" s="174"/>
      <c r="AJ112" s="174"/>
      <c r="AK112" s="174"/>
      <c r="AL112" s="174"/>
      <c r="AM112" s="174"/>
      <c r="AN112" s="174"/>
      <c r="AO112" s="174"/>
      <c r="AP112" s="174"/>
      <c r="AQ112" s="174"/>
      <c r="AR112" s="174"/>
      <c r="AS112" s="174"/>
      <c r="AT112" s="174"/>
      <c r="AU112" s="174"/>
      <c r="AV112" s="174"/>
      <c r="AW112" s="174"/>
      <c r="AX112" s="174"/>
      <c r="AY112" s="174"/>
      <c r="AZ112" s="174"/>
      <c r="BA112" s="174"/>
      <c r="BB112" s="174"/>
    </row>
    <row r="113" spans="12:54" s="10" customFormat="1" ht="12.75">
      <c r="L113" s="174"/>
      <c r="M113" s="174"/>
      <c r="N113" s="174"/>
      <c r="O113" s="174"/>
      <c r="P113" s="174"/>
      <c r="Q113" s="176"/>
      <c r="R113" s="174"/>
      <c r="S113" s="174"/>
      <c r="T113" s="174"/>
      <c r="U113"/>
      <c r="V113" s="174"/>
      <c r="W113" s="174"/>
      <c r="X113" s="174"/>
      <c r="Y113" s="174"/>
      <c r="Z113" s="174"/>
      <c r="AA113" s="174"/>
      <c r="AB113" s="174"/>
      <c r="AC113" s="174"/>
      <c r="AD113" s="174"/>
      <c r="AE113" s="174"/>
      <c r="AF113" s="174"/>
      <c r="AG113" s="174"/>
      <c r="AH113" s="174"/>
      <c r="AI113" s="174"/>
      <c r="AJ113" s="174"/>
      <c r="AK113" s="174"/>
      <c r="AL113" s="174"/>
      <c r="AM113" s="174"/>
      <c r="AN113" s="174"/>
      <c r="AO113" s="174"/>
      <c r="AP113" s="174"/>
      <c r="AQ113" s="174"/>
      <c r="AR113" s="174"/>
      <c r="AS113" s="174"/>
      <c r="AT113" s="174"/>
      <c r="AU113" s="174"/>
      <c r="AV113" s="174"/>
      <c r="AW113" s="174"/>
      <c r="AX113" s="174"/>
      <c r="AY113" s="174"/>
      <c r="AZ113" s="174"/>
      <c r="BA113" s="174"/>
      <c r="BB113" s="174"/>
    </row>
    <row r="114" spans="12:54" s="10" customFormat="1" ht="12.75">
      <c r="L114" s="174"/>
      <c r="M114" s="174"/>
      <c r="N114" s="174"/>
      <c r="O114" s="174"/>
      <c r="P114" s="174"/>
      <c r="Q114" s="176"/>
      <c r="R114" s="174"/>
      <c r="S114" s="174"/>
      <c r="T114" s="174"/>
      <c r="U114"/>
      <c r="V114" s="174"/>
      <c r="W114" s="174"/>
      <c r="X114" s="174"/>
      <c r="Y114" s="174"/>
      <c r="Z114" s="174"/>
      <c r="AA114" s="174"/>
      <c r="AB114" s="174"/>
      <c r="AC114" s="174"/>
      <c r="AD114" s="174"/>
      <c r="AE114" s="174"/>
      <c r="AF114" s="174"/>
      <c r="AG114" s="174"/>
      <c r="AH114" s="174"/>
      <c r="AI114" s="174"/>
      <c r="AJ114" s="174"/>
      <c r="AK114" s="174"/>
      <c r="AL114" s="174"/>
      <c r="AM114" s="174"/>
      <c r="AN114" s="174"/>
      <c r="AO114" s="174"/>
      <c r="AP114" s="174"/>
      <c r="AQ114" s="174"/>
      <c r="AR114" s="174"/>
      <c r="AS114" s="174"/>
      <c r="AT114" s="174"/>
      <c r="AU114" s="174"/>
      <c r="AV114" s="174"/>
      <c r="AW114" s="174"/>
      <c r="AX114" s="174"/>
      <c r="AY114" s="174"/>
      <c r="AZ114" s="174"/>
      <c r="BA114" s="174"/>
      <c r="BB114" s="174"/>
    </row>
    <row r="115" spans="12:54" s="10" customFormat="1" ht="12.75">
      <c r="L115" s="174"/>
      <c r="M115" s="174"/>
      <c r="N115" s="174"/>
      <c r="O115" s="174"/>
      <c r="P115" s="174"/>
      <c r="Q115" s="176"/>
      <c r="R115" s="174"/>
      <c r="S115" s="174"/>
      <c r="T115" s="174"/>
      <c r="U115"/>
      <c r="V115" s="174"/>
      <c r="W115" s="174"/>
      <c r="X115" s="174"/>
      <c r="Y115" s="174"/>
      <c r="Z115" s="174"/>
      <c r="AA115" s="174"/>
      <c r="AB115" s="174"/>
      <c r="AC115" s="174"/>
      <c r="AD115" s="174"/>
      <c r="AE115" s="174"/>
      <c r="AF115" s="174"/>
      <c r="AG115" s="174"/>
      <c r="AH115" s="174"/>
      <c r="AI115" s="174"/>
      <c r="AJ115" s="174"/>
      <c r="AK115" s="174"/>
      <c r="AL115" s="174"/>
      <c r="AM115" s="174"/>
      <c r="AN115" s="174"/>
      <c r="AO115" s="174"/>
      <c r="AP115" s="174"/>
      <c r="AQ115" s="174"/>
      <c r="AR115" s="174"/>
      <c r="AS115" s="174"/>
      <c r="AT115" s="174"/>
      <c r="AU115" s="174"/>
      <c r="AV115" s="174"/>
      <c r="AW115" s="174"/>
      <c r="AX115" s="174"/>
      <c r="AY115" s="174"/>
      <c r="AZ115" s="174"/>
      <c r="BA115" s="174"/>
      <c r="BB115" s="174"/>
    </row>
    <row r="116" spans="12:54" s="10" customFormat="1" ht="12.75">
      <c r="L116" s="174"/>
      <c r="M116" s="174"/>
      <c r="N116" s="174"/>
      <c r="O116" s="174"/>
      <c r="P116" s="174"/>
      <c r="Q116" s="176"/>
      <c r="R116" s="174"/>
      <c r="S116" s="174"/>
      <c r="T116" s="174"/>
      <c r="U116"/>
      <c r="V116" s="174"/>
      <c r="W116" s="174"/>
      <c r="X116" s="174"/>
      <c r="Y116" s="174"/>
      <c r="Z116" s="174"/>
      <c r="AA116" s="174"/>
      <c r="AB116" s="174"/>
      <c r="AC116" s="174"/>
      <c r="AD116" s="174"/>
      <c r="AE116" s="174"/>
      <c r="AF116" s="174"/>
      <c r="AG116" s="174"/>
      <c r="AH116" s="174"/>
      <c r="AI116" s="174"/>
      <c r="AJ116" s="174"/>
      <c r="AK116" s="174"/>
      <c r="AL116" s="174"/>
      <c r="AM116" s="174"/>
      <c r="AN116" s="174"/>
      <c r="AO116" s="174"/>
      <c r="AP116" s="174"/>
      <c r="AQ116" s="174"/>
      <c r="AR116" s="174"/>
      <c r="AS116" s="174"/>
      <c r="AT116" s="174"/>
      <c r="AU116" s="174"/>
      <c r="AV116" s="174"/>
      <c r="AW116" s="174"/>
      <c r="AX116" s="174"/>
      <c r="AY116" s="174"/>
      <c r="AZ116" s="174"/>
      <c r="BA116" s="174"/>
      <c r="BB116" s="174"/>
    </row>
    <row r="117" spans="12:54" s="10" customFormat="1" ht="12.75">
      <c r="L117" s="174"/>
      <c r="M117" s="174"/>
      <c r="N117" s="174"/>
      <c r="O117" s="174"/>
      <c r="P117" s="174"/>
      <c r="Q117" s="176"/>
      <c r="R117" s="174"/>
      <c r="S117" s="174"/>
      <c r="T117" s="174"/>
      <c r="U117"/>
      <c r="V117" s="174"/>
      <c r="W117" s="174"/>
      <c r="X117" s="174"/>
      <c r="Y117" s="174"/>
      <c r="Z117" s="174"/>
      <c r="AA117" s="174"/>
      <c r="AB117" s="174"/>
      <c r="AC117" s="174"/>
      <c r="AD117" s="174"/>
      <c r="AE117" s="174"/>
      <c r="AF117" s="174"/>
      <c r="AG117" s="174"/>
      <c r="AH117" s="174"/>
      <c r="AI117" s="174"/>
      <c r="AJ117" s="174"/>
      <c r="AK117" s="174"/>
      <c r="AL117" s="174"/>
      <c r="AM117" s="174"/>
      <c r="AN117" s="174"/>
      <c r="AO117" s="174"/>
      <c r="AP117" s="174"/>
      <c r="AQ117" s="174"/>
      <c r="AR117" s="174"/>
      <c r="AS117" s="174"/>
      <c r="AT117" s="174"/>
      <c r="AU117" s="174"/>
      <c r="AV117" s="174"/>
      <c r="AW117" s="174"/>
      <c r="AX117" s="174"/>
      <c r="AY117" s="174"/>
      <c r="AZ117" s="174"/>
      <c r="BA117" s="174"/>
      <c r="BB117" s="174"/>
    </row>
    <row r="118" spans="12:54" s="10" customFormat="1" ht="12.75">
      <c r="L118" s="174"/>
      <c r="M118" s="174"/>
      <c r="N118" s="174"/>
      <c r="O118" s="174"/>
      <c r="P118" s="174"/>
      <c r="Q118" s="176"/>
      <c r="R118" s="174"/>
      <c r="S118" s="174"/>
      <c r="T118" s="174"/>
      <c r="U118"/>
      <c r="V118" s="174"/>
      <c r="W118" s="174"/>
      <c r="X118" s="174"/>
      <c r="Y118" s="174"/>
      <c r="Z118" s="174"/>
      <c r="AA118" s="174"/>
      <c r="AB118" s="174"/>
      <c r="AC118" s="174"/>
      <c r="AD118" s="174"/>
      <c r="AE118" s="174"/>
      <c r="AF118" s="174"/>
      <c r="AG118" s="174"/>
      <c r="AH118" s="174"/>
      <c r="AI118" s="174"/>
      <c r="AJ118" s="174"/>
      <c r="AK118" s="174"/>
      <c r="AL118" s="174"/>
      <c r="AM118" s="174"/>
      <c r="AN118" s="174"/>
      <c r="AO118" s="174"/>
      <c r="AP118" s="174"/>
      <c r="AQ118" s="174"/>
      <c r="AR118" s="174"/>
      <c r="AS118" s="174"/>
      <c r="AT118" s="174"/>
      <c r="AU118" s="174"/>
      <c r="AV118" s="174"/>
      <c r="AW118" s="174"/>
      <c r="AX118" s="174"/>
      <c r="AY118" s="174"/>
      <c r="AZ118" s="174"/>
      <c r="BA118" s="174"/>
      <c r="BB118" s="174"/>
    </row>
    <row r="119" spans="12:54" s="10" customFormat="1" ht="12.75">
      <c r="L119" s="174"/>
      <c r="M119" s="174"/>
      <c r="N119" s="174"/>
      <c r="O119" s="174"/>
      <c r="P119" s="174"/>
      <c r="Q119" s="176"/>
      <c r="R119" s="174"/>
      <c r="S119" s="174"/>
      <c r="T119" s="174"/>
      <c r="U119"/>
      <c r="V119" s="174"/>
      <c r="W119" s="174"/>
      <c r="X119" s="174"/>
      <c r="Y119" s="174"/>
      <c r="Z119" s="174"/>
      <c r="AA119" s="174"/>
      <c r="AB119" s="174"/>
      <c r="AC119" s="174"/>
      <c r="AD119" s="174"/>
      <c r="AE119" s="174"/>
      <c r="AF119" s="174"/>
      <c r="AG119" s="174"/>
      <c r="AH119" s="174"/>
      <c r="AI119" s="174"/>
      <c r="AJ119" s="174"/>
      <c r="AK119" s="174"/>
      <c r="AL119" s="174"/>
      <c r="AM119" s="174"/>
      <c r="AN119" s="174"/>
      <c r="AO119" s="174"/>
      <c r="AP119" s="174"/>
      <c r="AQ119" s="174"/>
      <c r="AR119" s="174"/>
      <c r="AS119" s="174"/>
      <c r="AT119" s="174"/>
      <c r="AU119" s="174"/>
      <c r="AV119" s="174"/>
      <c r="AW119" s="174"/>
      <c r="AX119" s="174"/>
      <c r="AY119" s="174"/>
      <c r="AZ119" s="174"/>
      <c r="BA119" s="174"/>
      <c r="BB119" s="174"/>
    </row>
    <row r="120" spans="12:54" s="10" customFormat="1" ht="12.75">
      <c r="L120" s="174"/>
      <c r="M120" s="174"/>
      <c r="N120" s="174"/>
      <c r="O120" s="174"/>
      <c r="P120" s="174"/>
      <c r="Q120" s="176"/>
      <c r="R120" s="174"/>
      <c r="S120" s="174"/>
      <c r="T120" s="174"/>
      <c r="U120"/>
      <c r="V120" s="174"/>
      <c r="W120" s="174"/>
      <c r="X120" s="174"/>
      <c r="Y120" s="174"/>
      <c r="Z120" s="174"/>
      <c r="AA120" s="174"/>
      <c r="AB120" s="174"/>
      <c r="AC120" s="174"/>
      <c r="AD120" s="174"/>
      <c r="AE120" s="174"/>
      <c r="AF120" s="174"/>
      <c r="AG120" s="174"/>
      <c r="AH120" s="174"/>
      <c r="AI120" s="174"/>
      <c r="AJ120" s="174"/>
      <c r="AK120" s="174"/>
      <c r="AL120" s="174"/>
      <c r="AM120" s="174"/>
      <c r="AN120" s="174"/>
      <c r="AO120" s="174"/>
      <c r="AP120" s="174"/>
      <c r="AQ120" s="174"/>
      <c r="AR120" s="174"/>
      <c r="AS120" s="174"/>
      <c r="AT120" s="174"/>
      <c r="AU120" s="174"/>
      <c r="AV120" s="174"/>
      <c r="AW120" s="174"/>
      <c r="AX120" s="174"/>
      <c r="AY120" s="174"/>
      <c r="AZ120" s="174"/>
      <c r="BA120" s="174"/>
      <c r="BB120" s="174"/>
    </row>
    <row r="121" spans="12:54" s="10" customFormat="1" ht="12.75">
      <c r="L121" s="174"/>
      <c r="M121" s="174"/>
      <c r="N121" s="174"/>
      <c r="O121" s="174"/>
      <c r="P121" s="174"/>
      <c r="Q121" s="176"/>
      <c r="R121" s="174"/>
      <c r="S121" s="174"/>
      <c r="T121" s="174"/>
      <c r="U121"/>
      <c r="V121" s="174"/>
      <c r="W121" s="174"/>
      <c r="X121" s="174"/>
      <c r="Y121" s="174"/>
      <c r="Z121" s="174"/>
      <c r="AA121" s="174"/>
      <c r="AB121" s="174"/>
      <c r="AC121" s="174"/>
      <c r="AD121" s="174"/>
      <c r="AE121" s="174"/>
      <c r="AF121" s="174"/>
      <c r="AG121" s="174"/>
      <c r="AH121" s="174"/>
      <c r="AI121" s="174"/>
      <c r="AJ121" s="174"/>
      <c r="AK121" s="174"/>
      <c r="AL121" s="174"/>
      <c r="AM121" s="174"/>
      <c r="AN121" s="174"/>
      <c r="AO121" s="174"/>
      <c r="AP121" s="174"/>
      <c r="AQ121" s="174"/>
      <c r="AR121" s="174"/>
      <c r="AS121" s="174"/>
      <c r="AT121" s="174"/>
      <c r="AU121" s="174"/>
      <c r="AV121" s="174"/>
      <c r="AW121" s="174"/>
      <c r="AX121" s="174"/>
      <c r="AY121" s="174"/>
      <c r="AZ121" s="174"/>
      <c r="BA121" s="174"/>
      <c r="BB121" s="174"/>
    </row>
    <row r="122" spans="12:54" s="10" customFormat="1" ht="12.75">
      <c r="L122" s="177"/>
      <c r="M122" s="177"/>
      <c r="N122" s="177"/>
      <c r="O122" s="177"/>
      <c r="P122" s="177"/>
      <c r="Q122" s="178"/>
      <c r="R122" s="177"/>
      <c r="S122" s="177"/>
      <c r="T122" s="174"/>
      <c r="U122"/>
      <c r="V122" s="174"/>
      <c r="W122" s="174"/>
      <c r="X122" s="174"/>
      <c r="Y122" s="174"/>
      <c r="Z122" s="174"/>
      <c r="AA122" s="174"/>
      <c r="AB122" s="174"/>
      <c r="AC122" s="174"/>
      <c r="AD122" s="174"/>
      <c r="AE122" s="174"/>
      <c r="AF122" s="174"/>
      <c r="AG122" s="174"/>
      <c r="AH122" s="174"/>
      <c r="AI122" s="174"/>
      <c r="AJ122" s="174"/>
      <c r="AK122" s="174"/>
      <c r="AL122" s="174"/>
      <c r="AM122" s="174"/>
      <c r="AN122" s="174"/>
      <c r="AO122" s="174"/>
      <c r="AP122" s="174"/>
      <c r="AQ122" s="174"/>
      <c r="AR122" s="174"/>
      <c r="AS122" s="174"/>
      <c r="AT122" s="174"/>
      <c r="AU122" s="174"/>
      <c r="AV122" s="174"/>
      <c r="AW122" s="174"/>
      <c r="AX122" s="174"/>
      <c r="AY122" s="174"/>
      <c r="AZ122" s="174"/>
      <c r="BA122" s="174"/>
      <c r="BB122" s="174"/>
    </row>
    <row r="123" spans="17:21" s="31" customFormat="1" ht="12.75">
      <c r="Q123" s="179"/>
      <c r="U123"/>
    </row>
    <row r="124" spans="17:21" s="31" customFormat="1" ht="12.75">
      <c r="Q124" s="179"/>
      <c r="U124"/>
    </row>
    <row r="125" spans="17:21" s="31" customFormat="1" ht="12.75">
      <c r="Q125" s="179"/>
      <c r="U125"/>
    </row>
    <row r="126" spans="17:21" s="31" customFormat="1" ht="12.75">
      <c r="Q126" s="179"/>
      <c r="U126"/>
    </row>
    <row r="127" spans="17:21" s="31" customFormat="1" ht="12.75">
      <c r="Q127" s="179"/>
      <c r="U127"/>
    </row>
    <row r="128" spans="17:21" s="31" customFormat="1" ht="12.75">
      <c r="Q128" s="179"/>
      <c r="U128"/>
    </row>
    <row r="129" spans="17:21" s="31" customFormat="1" ht="12.75">
      <c r="Q129" s="179"/>
      <c r="U129"/>
    </row>
    <row r="130" spans="17:21" s="31" customFormat="1" ht="12.75">
      <c r="Q130" s="179"/>
      <c r="U130"/>
    </row>
    <row r="131" spans="17:21" s="31" customFormat="1" ht="12.75">
      <c r="Q131" s="179"/>
      <c r="U131"/>
    </row>
    <row r="132" spans="17:21" s="31" customFormat="1" ht="12.75">
      <c r="Q132" s="179"/>
      <c r="U132"/>
    </row>
    <row r="133" spans="17:21" s="31" customFormat="1" ht="12.75">
      <c r="Q133" s="179"/>
      <c r="U133"/>
    </row>
    <row r="134" spans="17:21" s="31" customFormat="1" ht="12.75">
      <c r="Q134" s="179"/>
      <c r="U134"/>
    </row>
    <row r="135" spans="17:21" s="31" customFormat="1" ht="12.75">
      <c r="Q135" s="179"/>
      <c r="U135"/>
    </row>
    <row r="136" spans="17:21" s="31" customFormat="1" ht="12.75">
      <c r="Q136" s="179"/>
      <c r="U136"/>
    </row>
    <row r="137" spans="17:21" s="31" customFormat="1" ht="12.75">
      <c r="Q137" s="179"/>
      <c r="U137"/>
    </row>
    <row r="138" spans="17:21" s="31" customFormat="1" ht="12.75">
      <c r="Q138" s="179"/>
      <c r="U138"/>
    </row>
    <row r="139" spans="17:21" s="31" customFormat="1" ht="12.75">
      <c r="Q139" s="179"/>
      <c r="U139"/>
    </row>
    <row r="140" spans="17:21" s="31" customFormat="1" ht="12.75">
      <c r="Q140" s="179"/>
      <c r="U140"/>
    </row>
    <row r="141" spans="17:21" s="31" customFormat="1" ht="12.75">
      <c r="Q141" s="179"/>
      <c r="U141"/>
    </row>
    <row r="142" spans="17:21" s="31" customFormat="1" ht="12.75">
      <c r="Q142" s="179"/>
      <c r="U142"/>
    </row>
    <row r="143" spans="17:21" s="31" customFormat="1" ht="12.75">
      <c r="Q143" s="179"/>
      <c r="U143"/>
    </row>
    <row r="144" spans="17:21" s="31" customFormat="1" ht="12.75">
      <c r="Q144" s="179"/>
      <c r="U144"/>
    </row>
    <row r="145" spans="17:21" s="31" customFormat="1" ht="12.75">
      <c r="Q145" s="179"/>
      <c r="U145"/>
    </row>
    <row r="146" spans="17:21" s="31" customFormat="1" ht="12.75">
      <c r="Q146" s="179"/>
      <c r="U146"/>
    </row>
    <row r="147" spans="17:21" s="31" customFormat="1" ht="12.75">
      <c r="Q147" s="179"/>
      <c r="U147"/>
    </row>
    <row r="148" spans="17:21" s="31" customFormat="1" ht="12.75">
      <c r="Q148" s="179"/>
      <c r="U148"/>
    </row>
    <row r="149" spans="17:21" s="31" customFormat="1" ht="12.75">
      <c r="Q149" s="179"/>
      <c r="U149"/>
    </row>
  </sheetData>
  <sheetProtection/>
  <mergeCells count="4">
    <mergeCell ref="K6:L6"/>
    <mergeCell ref="E8:F8"/>
    <mergeCell ref="K8:L8"/>
    <mergeCell ref="E19:E20"/>
  </mergeCells>
  <conditionalFormatting sqref="K14">
    <cfRule type="expression" priority="1" dxfId="5" stopIfTrue="1">
      <formula>$C$5=40</formula>
    </cfRule>
    <cfRule type="expression" priority="2" dxfId="3" stopIfTrue="1">
      <formula>$C$5=35</formula>
    </cfRule>
  </conditionalFormatting>
  <conditionalFormatting sqref="P21:P30">
    <cfRule type="cellIs" priority="3" dxfId="3" operator="greaterThan" stopIfTrue="1">
      <formula>0.85</formula>
    </cfRule>
  </conditionalFormatting>
  <conditionalFormatting sqref="K9">
    <cfRule type="cellIs" priority="4" dxfId="0" operator="greaterThan" stopIfTrue="1">
      <formula>1100</formula>
    </cfRule>
  </conditionalFormatting>
  <conditionalFormatting sqref="E9">
    <cfRule type="cellIs" priority="5" dxfId="0" operator="greaterThan" stopIfTrue="1">
      <formula>1000</formula>
    </cfRule>
  </conditionalFormatting>
  <conditionalFormatting sqref="A21:N70">
    <cfRule type="expression" priority="6" dxfId="0" stopIfTrue="1">
      <formula>$L$21&gt;1</formula>
    </cfRule>
  </conditionalFormatting>
  <dataValidations count="4">
    <dataValidation type="list" allowBlank="1" showInputMessage="1" showErrorMessage="1" sqref="C8">
      <formula1>"1,2,3"</formula1>
    </dataValidation>
    <dataValidation type="list" allowBlank="1" showInputMessage="1" showErrorMessage="1" sqref="C10">
      <formula1>"55,60,65,70,75"</formula1>
    </dataValidation>
    <dataValidation type="list" allowBlank="1" showInputMessage="1" showErrorMessage="1" sqref="C5">
      <formula1>"35,40"</formula1>
    </dataValidation>
    <dataValidation type="list" allowBlank="1" showInputMessage="1" showErrorMessage="1" sqref="C3:C4">
      <formula1>"2,3,4,5,6,7,8,9,10"</formula1>
    </dataValidation>
  </dataValidations>
  <printOptions gridLines="1"/>
  <pageMargins left="0.75" right="0.75" top="1" bottom="1" header="0.4921259845" footer="0.4921259845"/>
  <pageSetup fitToHeight="3" fitToWidth="1" horizontalDpi="300" verticalDpi="300" orientation="landscape" paperSize="9" scale="75" r:id="rId4"/>
  <headerFooter alignWithMargins="0">
    <oddHeader>&amp;LDeltaSystemtechnik&amp;CSeite &amp;P&amp;R&amp;D</oddHeader>
    <oddFooter>&amp;L&amp;6&amp;F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tabColor indexed="13"/>
    <pageSetUpPr fitToPage="1"/>
  </sheetPr>
  <dimension ref="A1:BE301"/>
  <sheetViews>
    <sheetView zoomScale="50" zoomScaleNormal="50" zoomScalePageLayoutView="0" workbookViewId="0" topLeftCell="A31">
      <selection activeCell="D73" sqref="D73"/>
    </sheetView>
  </sheetViews>
  <sheetFormatPr defaultColWidth="11.421875" defaultRowHeight="12.75"/>
  <cols>
    <col min="2" max="2" width="14.421875" style="0" customWidth="1"/>
    <col min="3" max="3" width="23.140625" style="0" customWidth="1"/>
    <col min="4" max="4" width="20.00390625" style="0" customWidth="1"/>
    <col min="5" max="5" width="18.7109375" style="0" bestFit="1" customWidth="1"/>
    <col min="6" max="6" width="18.7109375" style="0" customWidth="1"/>
    <col min="7" max="7" width="13.00390625" style="0" bestFit="1" customWidth="1"/>
    <col min="8" max="8" width="7.8515625" style="0" customWidth="1"/>
    <col min="9" max="9" width="8.140625" style="0" customWidth="1"/>
    <col min="10" max="10" width="6.8515625" style="0" customWidth="1"/>
    <col min="11" max="11" width="7.00390625" style="0" bestFit="1" customWidth="1"/>
    <col min="12" max="12" width="8.57421875" style="0" bestFit="1" customWidth="1"/>
    <col min="13" max="13" width="7.00390625" style="15" bestFit="1" customWidth="1"/>
    <col min="14" max="14" width="4.00390625" style="0" customWidth="1"/>
    <col min="15" max="15" width="7.57421875" style="0" bestFit="1" customWidth="1"/>
    <col min="16" max="16" width="13.28125" style="0" customWidth="1"/>
    <col min="18" max="18" width="11.140625" style="2" customWidth="1"/>
    <col min="19" max="19" width="8.421875" style="2" customWidth="1"/>
    <col min="20" max="20" width="13.421875" style="2" customWidth="1"/>
    <col min="21" max="22" width="8.421875" style="0" customWidth="1"/>
  </cols>
  <sheetData>
    <row r="1" spans="1:51" ht="12.75">
      <c r="A1" s="17" t="s">
        <v>45</v>
      </c>
      <c r="M1"/>
      <c r="Q1" s="8" t="s">
        <v>0</v>
      </c>
      <c r="R1" s="3"/>
      <c r="S1" s="3"/>
      <c r="T1" s="3"/>
      <c r="U1" s="4"/>
      <c r="V1" s="4"/>
      <c r="W1" s="4"/>
      <c r="X1" s="4"/>
      <c r="Y1" s="4"/>
      <c r="Z1" s="4"/>
      <c r="AA1" s="11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12.75">
      <c r="A2" s="17"/>
      <c r="D2" s="18"/>
      <c r="E2" s="18"/>
      <c r="F2" s="18"/>
      <c r="M2"/>
      <c r="Q2" s="9" t="s">
        <v>1</v>
      </c>
      <c r="R2" s="10"/>
      <c r="S2" s="10"/>
      <c r="T2" s="10"/>
      <c r="U2" s="10"/>
      <c r="V2" s="10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ht="12.75">
      <c r="A3" s="17" t="s">
        <v>24</v>
      </c>
      <c r="C3" t="s">
        <v>25</v>
      </c>
      <c r="D3" t="s">
        <v>26</v>
      </c>
      <c r="E3" s="49">
        <v>20</v>
      </c>
      <c r="F3" t="s">
        <v>27</v>
      </c>
      <c r="M3"/>
      <c r="Q3" s="16">
        <f>IF(Q2="preßfitting",0.0015,IF(Q2="stahl",0.045,IF(Q2="kupfer",0.0015,IF(Q2="pp",0.007,IF(Q2="edelstahl",0.0015)))))</f>
        <v>0.045</v>
      </c>
      <c r="R3" s="3"/>
      <c r="S3" s="3"/>
      <c r="T3" s="5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12.75">
      <c r="A4" s="17" t="s">
        <v>136</v>
      </c>
      <c r="C4" s="49">
        <v>300</v>
      </c>
      <c r="E4" s="49"/>
      <c r="M4"/>
      <c r="Q4" s="12"/>
      <c r="R4" s="3"/>
      <c r="S4" s="3"/>
      <c r="T4" s="5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ht="12.75">
      <c r="A5" s="17" t="s">
        <v>135</v>
      </c>
      <c r="C5" s="51">
        <v>0</v>
      </c>
      <c r="E5" s="23"/>
      <c r="M5"/>
      <c r="Q5" s="12"/>
      <c r="R5" s="3"/>
      <c r="S5" s="3"/>
      <c r="T5" s="5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51" ht="12.75">
      <c r="A6" s="17" t="s">
        <v>94</v>
      </c>
      <c r="C6" s="49">
        <v>40</v>
      </c>
      <c r="F6" s="31"/>
      <c r="M6"/>
      <c r="Q6" s="12"/>
      <c r="R6" s="3"/>
      <c r="S6" s="3"/>
      <c r="T6" s="5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7" ht="12.75">
      <c r="A7" s="17" t="s">
        <v>28</v>
      </c>
      <c r="C7" s="50">
        <v>15</v>
      </c>
      <c r="D7" s="35" t="s">
        <v>95</v>
      </c>
      <c r="E7" s="22"/>
      <c r="F7" s="22"/>
      <c r="G7" s="214"/>
      <c r="H7" s="214"/>
      <c r="M7"/>
      <c r="R7"/>
      <c r="S7"/>
      <c r="T7"/>
      <c r="W7" s="4"/>
      <c r="X7" s="3"/>
      <c r="Y7" s="3"/>
      <c r="Z7" s="3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</row>
    <row r="8" spans="3:51" ht="12.75">
      <c r="C8" s="33"/>
      <c r="D8" s="34"/>
      <c r="M8"/>
      <c r="Q8" s="4"/>
      <c r="R8" s="3"/>
      <c r="S8" s="3"/>
      <c r="T8" s="3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1" ht="12.75">
      <c r="A9" s="17" t="s">
        <v>47</v>
      </c>
      <c r="C9" s="49">
        <v>3</v>
      </c>
      <c r="D9" s="132" t="s">
        <v>144</v>
      </c>
      <c r="E9" s="215" t="s">
        <v>98</v>
      </c>
      <c r="F9" s="215"/>
      <c r="G9" s="215" t="s">
        <v>99</v>
      </c>
      <c r="H9" s="215"/>
      <c r="M9"/>
      <c r="Q9" s="4"/>
      <c r="R9" s="3"/>
      <c r="S9" s="3"/>
      <c r="T9" s="3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ht="12.75">
      <c r="A10" s="17" t="s">
        <v>54</v>
      </c>
      <c r="D10" s="1"/>
      <c r="E10" s="40">
        <f>IF(C9=1,VLOOKUP(C11,'Erwärmung 40 K'!B1:E5,2),IF(C9=2,VLOOKUP(C11,'Erwärmung 40 K'!B7:E11,2),IF(C9=3,VLOOKUP(C11,'Erwärmung 40 K'!B13:E17,2),)))</f>
        <v>2053.6372471997015</v>
      </c>
      <c r="F10" s="41"/>
      <c r="G10" s="42">
        <f>IF(C9=1,VLOOKUP(C11,'Erwärmung 35 K'!B1:E6,2),IF(C9=2,VLOOKUP(C11,'Erwärmung 35 K'!B8:E13,2),IF(C9=3,VLOOKUP(C11,'Erwärmung 35 K'!B15:E20,2),)))</f>
        <v>1275.5532903565736</v>
      </c>
      <c r="H10" s="43"/>
      <c r="M10"/>
      <c r="Q10" s="4"/>
      <c r="R10" s="3"/>
      <c r="S10" s="3"/>
      <c r="T10" s="3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ht="12.75">
      <c r="A11" s="17" t="s">
        <v>41</v>
      </c>
      <c r="C11" s="51">
        <v>55</v>
      </c>
      <c r="D11" s="39" t="s">
        <v>42</v>
      </c>
      <c r="E11" s="44"/>
      <c r="F11" s="41"/>
      <c r="G11" s="45"/>
      <c r="H11" s="43"/>
      <c r="J11" s="38"/>
      <c r="M11"/>
      <c r="Q11" s="4"/>
      <c r="R11" s="3"/>
      <c r="S11" s="3"/>
      <c r="T11" s="3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1:51" ht="12.75">
      <c r="A12" s="17" t="s">
        <v>48</v>
      </c>
      <c r="C12" s="1"/>
      <c r="D12" s="32"/>
      <c r="E12" s="40">
        <f>IF(C9=1,VLOOKUP(C11,'Erwärmung 40 K'!B1:E5,3),IF(C9=2,VLOOKUP(C11,'Erwärmung 40 K'!B7:E11,3),IF(C9=3,VLOOKUP(C11,'Erwärmung 40 K'!B13:E17,3),)))</f>
        <v>29.36109066648605</v>
      </c>
      <c r="F12" s="41" t="s">
        <v>42</v>
      </c>
      <c r="G12" s="46">
        <f>IF(C9=1,VLOOKUP(C11,'Erwärmung 35 K'!B1:E6,3),IF(C9=2,VLOOKUP(C11,'Erwärmung 35 K'!B8:E13,3),IF(C9=3,VLOOKUP(C11,'Erwärmung 35 K'!B15:E20,3),)))</f>
        <v>21.616832813962542</v>
      </c>
      <c r="H12" s="43" t="s">
        <v>42</v>
      </c>
      <c r="M12"/>
      <c r="Q12" s="4"/>
      <c r="R12" s="3"/>
      <c r="S12" s="3"/>
      <c r="T12" s="3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 ht="12.75">
      <c r="A13" s="17" t="s">
        <v>30</v>
      </c>
      <c r="C13" s="1"/>
      <c r="D13" s="32"/>
      <c r="E13" s="47">
        <f>IF(C9=1,VLOOKUP(C11,'Erwärmung 40 K'!B1:E5,4),IF(C9=2,VLOOKUP(C11,'Erwärmung 40 K'!B7:E11,4),IF(C9=3,VLOOKUP(C11,'Erwärmung 40 K'!B13:E17,4),)))</f>
        <v>0.8434851886171935</v>
      </c>
      <c r="F13" s="41" t="s">
        <v>31</v>
      </c>
      <c r="G13" s="48">
        <f>IF(C9=1,VLOOKUP(C11,'Erwärmung 35 K'!B1:E6,4),IF(C9=2,VLOOKUP(C11,'Erwärmung 35 K'!B8:E13,4),IF(C9=3,VLOOKUP(C11,'Erwärmung 35 K'!B15:E20,4),)))</f>
        <v>0.3254072393078963</v>
      </c>
      <c r="H13" s="43" t="s">
        <v>31</v>
      </c>
      <c r="M13"/>
      <c r="Q13" s="4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ht="13.5" thickBot="1">
      <c r="A14" s="17"/>
      <c r="C14" s="1"/>
      <c r="D14" s="1"/>
      <c r="E14" s="24"/>
      <c r="F14" s="19"/>
      <c r="G14" s="24"/>
      <c r="H14" s="19"/>
      <c r="M14"/>
      <c r="Q14" s="4"/>
      <c r="R14" s="3"/>
      <c r="S14" s="3"/>
      <c r="T14" s="3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1:51" ht="13.5" thickBot="1">
      <c r="A15" s="17" t="s">
        <v>96</v>
      </c>
      <c r="C15" s="1"/>
      <c r="D15" s="1"/>
      <c r="E15" s="52">
        <v>40</v>
      </c>
      <c r="F15" s="19" t="s">
        <v>42</v>
      </c>
      <c r="G15" s="109">
        <f>IF($C$6=40,$C$7*(50-$E$15)/($E$15-$E$16)+$C$7,IF($C$6=35,$C$7*(45-$E$15)/($E$15-$E$16)+$C$7))</f>
        <v>20</v>
      </c>
      <c r="H15" s="36" t="s">
        <v>46</v>
      </c>
      <c r="I15" s="30" t="s">
        <v>129</v>
      </c>
      <c r="J15" s="30"/>
      <c r="K15" s="30"/>
      <c r="L15" s="37"/>
      <c r="M15"/>
      <c r="Q15" s="4"/>
      <c r="R15" s="3"/>
      <c r="S15" s="3"/>
      <c r="T15" s="3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ht="12.75">
      <c r="A16" s="17" t="s">
        <v>97</v>
      </c>
      <c r="C16" s="1"/>
      <c r="D16" s="1"/>
      <c r="E16" s="38">
        <v>10</v>
      </c>
      <c r="F16" s="19" t="s">
        <v>42</v>
      </c>
      <c r="M16"/>
      <c r="Q16" s="4"/>
      <c r="R16" s="3"/>
      <c r="S16" s="3"/>
      <c r="T16" s="3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12.75">
      <c r="A17" s="17"/>
      <c r="C17" s="1"/>
      <c r="D17" s="1"/>
      <c r="F17" s="19"/>
      <c r="M17"/>
      <c r="Q17" s="4"/>
      <c r="R17" s="3"/>
      <c r="S17" s="3"/>
      <c r="T17" s="3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12.75">
      <c r="A18" s="17" t="s">
        <v>32</v>
      </c>
      <c r="C18" s="1"/>
      <c r="D18" s="1"/>
      <c r="M18"/>
      <c r="Q18" s="4"/>
      <c r="R18" s="3"/>
      <c r="S18" s="3"/>
      <c r="T18" s="3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5:51" ht="12.75">
      <c r="E19" s="15"/>
      <c r="F19" s="20"/>
      <c r="G19" s="21"/>
      <c r="H19" s="21"/>
      <c r="M19"/>
      <c r="Q19" s="4"/>
      <c r="R19" s="3"/>
      <c r="S19" s="3"/>
      <c r="T19" s="3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6:51" ht="12.75">
      <c r="F20" s="110"/>
      <c r="G20" s="111"/>
      <c r="H20" s="112"/>
      <c r="I20" s="113"/>
      <c r="J20" s="113"/>
      <c r="K20" s="113"/>
      <c r="L20" s="113"/>
      <c r="M20" s="113"/>
      <c r="N20" s="113"/>
      <c r="O20" s="113"/>
      <c r="P20" s="113"/>
      <c r="Q20" s="113"/>
      <c r="R20" s="114"/>
      <c r="S20" s="114"/>
      <c r="T20" s="114"/>
      <c r="U20" s="113"/>
      <c r="V20" s="113"/>
      <c r="W20" s="113"/>
      <c r="X20" s="113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s="38" customFormat="1" ht="12.75">
      <c r="A21" s="54"/>
      <c r="C21" s="54"/>
      <c r="D21" s="54"/>
      <c r="E21" s="54"/>
      <c r="F21" s="115"/>
      <c r="G21" s="116"/>
      <c r="H21" s="115"/>
      <c r="I21" s="115"/>
      <c r="J21" s="117"/>
      <c r="K21" s="115"/>
      <c r="L21" s="115"/>
      <c r="M21" s="115"/>
      <c r="N21" s="115"/>
      <c r="O21" s="115"/>
      <c r="P21" s="115"/>
      <c r="Q21" s="101"/>
      <c r="R21" s="118"/>
      <c r="S21" s="101"/>
      <c r="T21" s="101"/>
      <c r="U21" s="101"/>
      <c r="V21" s="101"/>
      <c r="W21" s="101"/>
      <c r="X21" s="101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</row>
    <row r="22" spans="1:51" s="54" customFormat="1" ht="12.75">
      <c r="A22" s="53" t="s">
        <v>145</v>
      </c>
      <c r="B22" s="38"/>
      <c r="Q22" s="55"/>
      <c r="R22" s="56"/>
      <c r="S22" s="56" t="s">
        <v>19</v>
      </c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</row>
    <row r="23" spans="8:51" s="54" customFormat="1" ht="12" customHeight="1">
      <c r="H23" s="57"/>
      <c r="I23" s="57"/>
      <c r="J23" s="57"/>
      <c r="K23" s="57"/>
      <c r="L23" s="57"/>
      <c r="M23" s="57"/>
      <c r="N23" s="57"/>
      <c r="O23" s="57"/>
      <c r="P23" s="57"/>
      <c r="Q23" s="55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</row>
    <row r="24" spans="1:51" s="69" customFormat="1" ht="37.5" customHeight="1">
      <c r="A24" s="58" t="s">
        <v>20</v>
      </c>
      <c r="B24" s="59" t="s">
        <v>40</v>
      </c>
      <c r="C24" s="59" t="s">
        <v>36</v>
      </c>
      <c r="D24" s="59" t="s">
        <v>39</v>
      </c>
      <c r="E24" s="60" t="s">
        <v>37</v>
      </c>
      <c r="F24" s="60" t="s">
        <v>21</v>
      </c>
      <c r="G24" s="61" t="s">
        <v>38</v>
      </c>
      <c r="H24" s="62" t="s">
        <v>33</v>
      </c>
      <c r="I24" s="63" t="s">
        <v>2</v>
      </c>
      <c r="J24" s="64" t="s">
        <v>52</v>
      </c>
      <c r="K24" s="64" t="s">
        <v>4</v>
      </c>
      <c r="L24" s="63" t="s">
        <v>5</v>
      </c>
      <c r="M24" s="65" t="s">
        <v>6</v>
      </c>
      <c r="N24" s="66" t="s">
        <v>7</v>
      </c>
      <c r="O24" s="63" t="s">
        <v>8</v>
      </c>
      <c r="P24" s="67" t="s">
        <v>9</v>
      </c>
      <c r="Q24" s="68"/>
      <c r="R24" s="68" t="s">
        <v>10</v>
      </c>
      <c r="S24" s="68" t="s">
        <v>11</v>
      </c>
      <c r="T24" s="68" t="s">
        <v>12</v>
      </c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</row>
    <row r="25" spans="1:51" s="54" customFormat="1" ht="12.75">
      <c r="A25" s="70" t="s">
        <v>35</v>
      </c>
      <c r="B25" s="57"/>
      <c r="C25" s="71"/>
      <c r="D25" s="71"/>
      <c r="E25" s="73" t="s">
        <v>29</v>
      </c>
      <c r="F25" s="73"/>
      <c r="G25" s="74" t="s">
        <v>29</v>
      </c>
      <c r="H25" s="57" t="s">
        <v>34</v>
      </c>
      <c r="I25" s="75" t="s">
        <v>13</v>
      </c>
      <c r="J25" s="76"/>
      <c r="K25" s="76" t="s">
        <v>14</v>
      </c>
      <c r="L25" s="75" t="s">
        <v>15</v>
      </c>
      <c r="M25" s="77" t="s">
        <v>16</v>
      </c>
      <c r="N25" s="75" t="s">
        <v>17</v>
      </c>
      <c r="O25" s="75" t="s">
        <v>15</v>
      </c>
      <c r="P25" s="78" t="s">
        <v>15</v>
      </c>
      <c r="Q25" s="56"/>
      <c r="R25" s="79" t="s">
        <v>13</v>
      </c>
      <c r="S25" s="56"/>
      <c r="T25" s="56"/>
      <c r="U25" s="56" t="s">
        <v>18</v>
      </c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</row>
    <row r="26" spans="1:51" s="38" customFormat="1" ht="12.75">
      <c r="A26" s="54">
        <v>1</v>
      </c>
      <c r="B26" s="38" t="s">
        <v>22</v>
      </c>
      <c r="C26" s="54">
        <f>VLOOKUP(A26,Gleichz!$A$1:$B$100,2)</f>
        <v>1</v>
      </c>
      <c r="D26" s="54">
        <f>IF($C$5=1,A26,A26-C26)</f>
        <v>0</v>
      </c>
      <c r="E26" s="80">
        <f>IF($C$6=40,$E$10,IF($C$6=35,$G$10,"???"))*C26</f>
        <v>2053.6372471997015</v>
      </c>
      <c r="F26" s="81">
        <v>5</v>
      </c>
      <c r="G26" s="82">
        <f>(F26/(4.18*$E$3))*3600*D26</f>
        <v>0</v>
      </c>
      <c r="H26" s="83">
        <f>E26+G26</f>
        <v>2053.6372471997015</v>
      </c>
      <c r="I26" s="84">
        <v>1</v>
      </c>
      <c r="J26" s="85">
        <v>25</v>
      </c>
      <c r="K26" s="86" t="e">
        <f>IF(R26="","",((T26*1000*(M26^2))/(R26*2)))</f>
        <v>#VALUE!</v>
      </c>
      <c r="L26" s="84" t="e">
        <f>IF(J26="","",(K26*I26))</f>
        <v>#VALUE!</v>
      </c>
      <c r="M26" s="84" t="e">
        <f>IF(R26="","",((4*(H26/1000/3600))/((R26^2)*3.141592654)))</f>
        <v>#VALUE!</v>
      </c>
      <c r="N26" s="84">
        <v>0</v>
      </c>
      <c r="O26" s="84" t="e">
        <f>IF(N26="","",(N26*500*(M26^2)))</f>
        <v>#VALUE!</v>
      </c>
      <c r="P26" s="87" t="e">
        <f>IF(O26="","",(O26+L26))</f>
        <v>#VALUE!</v>
      </c>
      <c r="Q26" s="79"/>
      <c r="R26" s="88" t="e">
        <f>IF(J26="","",(di(J26,$Q$2)/1000))</f>
        <v>#VALUE!</v>
      </c>
      <c r="S26" s="79" t="e">
        <f>IF(R26="","",((M26*R26)/0.00000048))</f>
        <v>#VALUE!</v>
      </c>
      <c r="T26" s="79" t="e">
        <f>IF(S26="","",lambda($Q$3,S26,(R26*1000)))</f>
        <v>#VALUE!</v>
      </c>
      <c r="U26" s="56" t="s">
        <v>1</v>
      </c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</row>
    <row r="27" spans="1:51" s="38" customFormat="1" ht="12.75">
      <c r="A27" s="54">
        <v>2</v>
      </c>
      <c r="B27" s="38" t="s">
        <v>23</v>
      </c>
      <c r="C27" s="54">
        <f>VLOOKUP(A27,Gleichz!$A$1:$B$100,2)</f>
        <v>2</v>
      </c>
      <c r="D27" s="54">
        <f>IF($C$5=1,A27,A27-C27)</f>
        <v>0</v>
      </c>
      <c r="E27" s="80">
        <f>IF($C$6=40,$E$10,IF($C$6=35,$G$10,"???"))*C27</f>
        <v>4107.274494399403</v>
      </c>
      <c r="F27" s="81">
        <v>5</v>
      </c>
      <c r="G27" s="82">
        <f>(F27/(4.18*$E$3))*3600*D27</f>
        <v>0</v>
      </c>
      <c r="H27" s="83">
        <f>E27+G27</f>
        <v>4107.274494399403</v>
      </c>
      <c r="I27" s="84">
        <v>1</v>
      </c>
      <c r="J27" s="85">
        <v>32</v>
      </c>
      <c r="K27" s="86" t="e">
        <f>IF(R27="","",((T27*1000*(M27^2))/(R27*2)))</f>
        <v>#VALUE!</v>
      </c>
      <c r="L27" s="84" t="e">
        <f>IF(J27="","",(K27*I27))</f>
        <v>#VALUE!</v>
      </c>
      <c r="M27" s="84" t="e">
        <f>IF(R27="","",((4*(H27/1000/3600))/((R27^2)*3.141592654)))</f>
        <v>#VALUE!</v>
      </c>
      <c r="N27" s="84">
        <v>0</v>
      </c>
      <c r="O27" s="84" t="e">
        <f>IF(N27="","",(N27*500*(M27^2)))</f>
        <v>#VALUE!</v>
      </c>
      <c r="P27" s="87" t="e">
        <f>IF(O27="","",(O27+L27))</f>
        <v>#VALUE!</v>
      </c>
      <c r="Q27" s="79"/>
      <c r="R27" s="88" t="e">
        <f>IF(J27="","",(di(J27,$Q$2)/1000))</f>
        <v>#VALUE!</v>
      </c>
      <c r="S27" s="79" t="e">
        <f>IF(R27="","",((M27*R27)/0.00000048))</f>
        <v>#VALUE!</v>
      </c>
      <c r="T27" s="79" t="e">
        <f>IF(S27="","",lambda($Q$3,S27,(R27*1000)))</f>
        <v>#VALUE!</v>
      </c>
      <c r="U27" s="56" t="s">
        <v>1</v>
      </c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</row>
    <row r="28" spans="1:51" s="38" customFormat="1" ht="12.75">
      <c r="A28" s="54">
        <v>3</v>
      </c>
      <c r="B28" s="38" t="s">
        <v>49</v>
      </c>
      <c r="C28" s="54">
        <f>VLOOKUP(A28,Gleichz!$A$1:$B$100,2)</f>
        <v>2</v>
      </c>
      <c r="D28" s="54">
        <f>IF($C$5=1,A28,A28-C28)</f>
        <v>1</v>
      </c>
      <c r="E28" s="80">
        <f>IF($C$6=40,$E$10,IF($C$6=35,$G$10,"???"))*C28</f>
        <v>4107.274494399403</v>
      </c>
      <c r="F28" s="81">
        <v>5</v>
      </c>
      <c r="G28" s="82">
        <f>(F28/(4.18*$E$3))*3600*D28</f>
        <v>215.31100478468903</v>
      </c>
      <c r="H28" s="83">
        <f>E28+G28</f>
        <v>4322.585499184092</v>
      </c>
      <c r="I28" s="84">
        <v>1</v>
      </c>
      <c r="J28" s="85">
        <v>32</v>
      </c>
      <c r="K28" s="86" t="e">
        <f>IF(R28="","",((T28*1000*(M28^2))/(R28*2)))</f>
        <v>#VALUE!</v>
      </c>
      <c r="L28" s="84" t="e">
        <f>IF(J28="","",(K28*I28))</f>
        <v>#VALUE!</v>
      </c>
      <c r="M28" s="84" t="e">
        <f>IF(R28="","",((4*(H28/1000/3600))/((R28^2)*3.141592654)))</f>
        <v>#VALUE!</v>
      </c>
      <c r="N28" s="84">
        <v>0</v>
      </c>
      <c r="O28" s="84" t="e">
        <f>IF(N28="","",(N28*500*(M28^2)))</f>
        <v>#VALUE!</v>
      </c>
      <c r="P28" s="87" t="e">
        <f>IF(O28="","",(O28+L28))</f>
        <v>#VALUE!</v>
      </c>
      <c r="Q28" s="79"/>
      <c r="R28" s="88" t="e">
        <f>IF(J28="","",(di(J28,$Q$2)/1000))</f>
        <v>#VALUE!</v>
      </c>
      <c r="S28" s="79" t="e">
        <f>IF(R28="","",((M28*R28)/0.00000048))</f>
        <v>#VALUE!</v>
      </c>
      <c r="T28" s="79" t="e">
        <f>IF(S28="","",lambda($Q$3,S28,(R28*1000)))</f>
        <v>#VALUE!</v>
      </c>
      <c r="U28" s="56" t="s">
        <v>1</v>
      </c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</row>
    <row r="29" spans="1:51" s="38" customFormat="1" ht="12.75">
      <c r="A29" s="54">
        <v>4</v>
      </c>
      <c r="B29" s="38" t="s">
        <v>50</v>
      </c>
      <c r="C29" s="54">
        <f>VLOOKUP(A29,Gleichz!$A$1:$B$100,2)</f>
        <v>2</v>
      </c>
      <c r="D29" s="54">
        <f>IF($C$5=1,A29,A29-C29)</f>
        <v>2</v>
      </c>
      <c r="E29" s="80">
        <f>IF($C$6=40,$E$10,IF($C$6=35,$G$10,"???"))*C29</f>
        <v>4107.274494399403</v>
      </c>
      <c r="F29" s="81">
        <v>5</v>
      </c>
      <c r="G29" s="82">
        <f>(F29/(4.18*$E$3))*3600*D29</f>
        <v>430.62200956937806</v>
      </c>
      <c r="H29" s="83">
        <f>E29+G29</f>
        <v>4537.896503968781</v>
      </c>
      <c r="I29" s="84">
        <v>1</v>
      </c>
      <c r="J29" s="85">
        <v>32</v>
      </c>
      <c r="K29" s="86" t="e">
        <f>IF(R29="","",((T29*1000*(M29^2))/(R29*2)))</f>
        <v>#VALUE!</v>
      </c>
      <c r="L29" s="84" t="e">
        <f>IF(J29="","",(K29*I29))</f>
        <v>#VALUE!</v>
      </c>
      <c r="M29" s="84" t="e">
        <f>IF(R29="","",((4*(H29/1000/3600))/((R29^2)*3.141592654)))</f>
        <v>#VALUE!</v>
      </c>
      <c r="N29" s="84">
        <v>0</v>
      </c>
      <c r="O29" s="84" t="e">
        <f>IF(N29="","",(N29*500*(M29^2)))</f>
        <v>#VALUE!</v>
      </c>
      <c r="P29" s="87" t="e">
        <f>IF(O29="","",(O29+L29))</f>
        <v>#VALUE!</v>
      </c>
      <c r="Q29" s="79"/>
      <c r="R29" s="88" t="e">
        <f>IF(J29="","",(di(J29,$Q$2)/1000))</f>
        <v>#VALUE!</v>
      </c>
      <c r="S29" s="79" t="e">
        <f>IF(R29="","",((M29*R29)/0.00000048))</f>
        <v>#VALUE!</v>
      </c>
      <c r="T29" s="79" t="e">
        <f>IF(S29="","",lambda($Q$3,S29,(R29*1000)))</f>
        <v>#VALUE!</v>
      </c>
      <c r="U29" s="56" t="s">
        <v>1</v>
      </c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</row>
    <row r="30" spans="1:51" s="38" customFormat="1" ht="12.75">
      <c r="A30" s="54"/>
      <c r="C30" s="54"/>
      <c r="D30" s="54"/>
      <c r="E30" s="80"/>
      <c r="F30" s="81"/>
      <c r="G30" s="82"/>
      <c r="H30" s="83"/>
      <c r="I30" s="84"/>
      <c r="J30" s="85"/>
      <c r="K30" s="86"/>
      <c r="L30" s="84"/>
      <c r="M30" s="84"/>
      <c r="N30" s="84"/>
      <c r="O30" s="84"/>
      <c r="P30" s="87"/>
      <c r="Q30" s="79"/>
      <c r="R30" s="88"/>
      <c r="S30" s="79"/>
      <c r="T30" s="79"/>
      <c r="U30" s="56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</row>
    <row r="31" spans="1:51" s="38" customFormat="1" ht="12.75">
      <c r="A31" s="54"/>
      <c r="C31" s="54"/>
      <c r="D31" s="54"/>
      <c r="E31" s="80"/>
      <c r="F31" s="81"/>
      <c r="G31" s="82"/>
      <c r="H31" s="83"/>
      <c r="I31" s="84"/>
      <c r="J31" s="85"/>
      <c r="K31" s="86"/>
      <c r="L31" s="84"/>
      <c r="M31" s="84"/>
      <c r="N31" s="84"/>
      <c r="O31" s="84"/>
      <c r="P31" s="87"/>
      <c r="Q31" s="79"/>
      <c r="R31" s="88"/>
      <c r="S31" s="79"/>
      <c r="T31" s="79"/>
      <c r="U31" s="56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</row>
    <row r="32" spans="1:51" s="54" customFormat="1" ht="12.75">
      <c r="A32" s="53" t="s">
        <v>146</v>
      </c>
      <c r="B32" s="38"/>
      <c r="Q32" s="55"/>
      <c r="R32" s="56"/>
      <c r="S32" s="56" t="s">
        <v>19</v>
      </c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</row>
    <row r="33" spans="8:51" s="54" customFormat="1" ht="12" customHeight="1">
      <c r="H33" s="57"/>
      <c r="I33" s="57"/>
      <c r="J33" s="57"/>
      <c r="K33" s="57"/>
      <c r="L33" s="57"/>
      <c r="M33" s="57"/>
      <c r="N33" s="57"/>
      <c r="O33" s="57"/>
      <c r="P33" s="57"/>
      <c r="Q33" s="55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</row>
    <row r="34" spans="1:51" s="69" customFormat="1" ht="37.5" customHeight="1">
      <c r="A34" s="58" t="s">
        <v>20</v>
      </c>
      <c r="B34" s="59" t="s">
        <v>40</v>
      </c>
      <c r="C34" s="59" t="s">
        <v>36</v>
      </c>
      <c r="D34" s="59" t="s">
        <v>39</v>
      </c>
      <c r="E34" s="60" t="s">
        <v>37</v>
      </c>
      <c r="F34" s="60" t="s">
        <v>21</v>
      </c>
      <c r="G34" s="61" t="s">
        <v>38</v>
      </c>
      <c r="H34" s="62" t="s">
        <v>33</v>
      </c>
      <c r="I34" s="63" t="s">
        <v>2</v>
      </c>
      <c r="J34" s="64" t="s">
        <v>52</v>
      </c>
      <c r="K34" s="64" t="s">
        <v>4</v>
      </c>
      <c r="L34" s="63" t="s">
        <v>5</v>
      </c>
      <c r="M34" s="65" t="s">
        <v>6</v>
      </c>
      <c r="N34" s="66" t="s">
        <v>7</v>
      </c>
      <c r="O34" s="63" t="s">
        <v>8</v>
      </c>
      <c r="P34" s="67" t="s">
        <v>9</v>
      </c>
      <c r="Q34" s="68"/>
      <c r="R34" s="68" t="s">
        <v>10</v>
      </c>
      <c r="S34" s="68" t="s">
        <v>11</v>
      </c>
      <c r="T34" s="68" t="s">
        <v>12</v>
      </c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</row>
    <row r="35" spans="1:51" s="54" customFormat="1" ht="12.75">
      <c r="A35" s="70" t="s">
        <v>35</v>
      </c>
      <c r="B35" s="57"/>
      <c r="C35" s="71"/>
      <c r="D35" s="71"/>
      <c r="E35" s="73" t="s">
        <v>29</v>
      </c>
      <c r="F35" s="73"/>
      <c r="G35" s="74" t="s">
        <v>29</v>
      </c>
      <c r="H35" s="57" t="s">
        <v>34</v>
      </c>
      <c r="I35" s="75" t="s">
        <v>13</v>
      </c>
      <c r="J35" s="76"/>
      <c r="K35" s="76" t="s">
        <v>14</v>
      </c>
      <c r="L35" s="75" t="s">
        <v>15</v>
      </c>
      <c r="M35" s="77" t="s">
        <v>16</v>
      </c>
      <c r="N35" s="75" t="s">
        <v>17</v>
      </c>
      <c r="O35" s="75" t="s">
        <v>15</v>
      </c>
      <c r="P35" s="78" t="s">
        <v>15</v>
      </c>
      <c r="Q35" s="56"/>
      <c r="R35" s="79" t="s">
        <v>13</v>
      </c>
      <c r="S35" s="56"/>
      <c r="T35" s="56"/>
      <c r="U35" s="56" t="s">
        <v>18</v>
      </c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</row>
    <row r="36" spans="1:51" s="38" customFormat="1" ht="12.75">
      <c r="A36" s="54">
        <v>1</v>
      </c>
      <c r="B36" s="38" t="s">
        <v>147</v>
      </c>
      <c r="C36" s="54">
        <f>VLOOKUP(A36,Gleichz!$A$1:$B$100,2)</f>
        <v>1</v>
      </c>
      <c r="D36" s="54">
        <f>IF($C$5=1,A36,A36-C36)</f>
        <v>0</v>
      </c>
      <c r="E36" s="80">
        <f>IF($C$6=40,$E$10,IF($C$6=35,$G$10,"???"))*C36</f>
        <v>2053.6372471997015</v>
      </c>
      <c r="F36" s="81">
        <v>5</v>
      </c>
      <c r="G36" s="82">
        <f>(F36/(4.18*$E$3))*3600*D36</f>
        <v>0</v>
      </c>
      <c r="H36" s="83">
        <f>E36+G36</f>
        <v>2053.6372471997015</v>
      </c>
      <c r="I36" s="84">
        <v>1</v>
      </c>
      <c r="J36" s="85">
        <v>25</v>
      </c>
      <c r="K36" s="86" t="e">
        <f>IF(R36="","",((T36*1000*(M36^2))/(R36*2)))</f>
        <v>#VALUE!</v>
      </c>
      <c r="L36" s="84" t="e">
        <f>IF(J36="","",(K36*I36))</f>
        <v>#VALUE!</v>
      </c>
      <c r="M36" s="84" t="e">
        <f>IF(R36="","",((4*(H36/1000/3600))/((R36^2)*3.141592654)))</f>
        <v>#VALUE!</v>
      </c>
      <c r="N36" s="84">
        <v>0</v>
      </c>
      <c r="O36" s="84" t="e">
        <f>IF(N36="","",(N36*500*(M36^2)))</f>
        <v>#VALUE!</v>
      </c>
      <c r="P36" s="87" t="e">
        <f>IF(O36="","",(O36+L36))</f>
        <v>#VALUE!</v>
      </c>
      <c r="Q36" s="79"/>
      <c r="R36" s="88" t="e">
        <f>IF(J36="","",(di(J36,$Q$2)/1000))</f>
        <v>#VALUE!</v>
      </c>
      <c r="S36" s="79" t="e">
        <f>IF(R36="","",((M36*R36)/0.00000048))</f>
        <v>#VALUE!</v>
      </c>
      <c r="T36" s="79" t="e">
        <f>IF(S36="","",lambda($Q$3,S36,(R36*1000)))</f>
        <v>#VALUE!</v>
      </c>
      <c r="U36" s="56" t="s">
        <v>1</v>
      </c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</row>
    <row r="37" spans="1:51" s="38" customFormat="1" ht="12.75">
      <c r="A37" s="54">
        <v>2</v>
      </c>
      <c r="B37" s="38" t="s">
        <v>148</v>
      </c>
      <c r="C37" s="54">
        <f>VLOOKUP(A37,Gleichz!$A$1:$B$100,2)</f>
        <v>2</v>
      </c>
      <c r="D37" s="54">
        <f>IF($C$5=1,A37,A37-C37)</f>
        <v>0</v>
      </c>
      <c r="E37" s="80">
        <f>IF($C$6=40,$E$10,IF($C$6=35,$G$10,"???"))*C37</f>
        <v>4107.274494399403</v>
      </c>
      <c r="F37" s="81">
        <v>5</v>
      </c>
      <c r="G37" s="82">
        <f>(F37/(4.18*$E$3))*3600*D37</f>
        <v>0</v>
      </c>
      <c r="H37" s="83">
        <f>E37+G37</f>
        <v>4107.274494399403</v>
      </c>
      <c r="I37" s="84">
        <v>1</v>
      </c>
      <c r="J37" s="85">
        <v>32</v>
      </c>
      <c r="K37" s="86" t="e">
        <f>IF(R37="","",((T37*1000*(M37^2))/(R37*2)))</f>
        <v>#VALUE!</v>
      </c>
      <c r="L37" s="84" t="e">
        <f>IF(J37="","",(K37*I37))</f>
        <v>#VALUE!</v>
      </c>
      <c r="M37" s="84" t="e">
        <f>IF(R37="","",((4*(H37/1000/3600))/((R37^2)*3.141592654)))</f>
        <v>#VALUE!</v>
      </c>
      <c r="N37" s="84">
        <v>0</v>
      </c>
      <c r="O37" s="84" t="e">
        <f>IF(N37="","",(N37*500*(M37^2)))</f>
        <v>#VALUE!</v>
      </c>
      <c r="P37" s="87" t="e">
        <f>IF(O37="","",(O37+L37))</f>
        <v>#VALUE!</v>
      </c>
      <c r="Q37" s="79"/>
      <c r="R37" s="88" t="e">
        <f>IF(J37="","",(di(J37,$Q$2)/1000))</f>
        <v>#VALUE!</v>
      </c>
      <c r="S37" s="79" t="e">
        <f>IF(R37="","",((M37*R37)/0.00000048))</f>
        <v>#VALUE!</v>
      </c>
      <c r="T37" s="79" t="e">
        <f>IF(S37="","",lambda($Q$3,S37,(R37*1000)))</f>
        <v>#VALUE!</v>
      </c>
      <c r="U37" s="56" t="s">
        <v>1</v>
      </c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</row>
    <row r="38" spans="1:51" s="38" customFormat="1" ht="12.75">
      <c r="A38" s="54">
        <v>3</v>
      </c>
      <c r="B38" s="38" t="s">
        <v>149</v>
      </c>
      <c r="C38" s="54">
        <f>VLOOKUP(A38,Gleichz!$A$1:$B$100,2)</f>
        <v>2</v>
      </c>
      <c r="D38" s="54">
        <f>IF($C$5=1,A38,A38-C38)</f>
        <v>1</v>
      </c>
      <c r="E38" s="80">
        <f>IF($C$6=40,$E$10,IF($C$6=35,$G$10,"???"))*C38</f>
        <v>4107.274494399403</v>
      </c>
      <c r="F38" s="81">
        <v>5</v>
      </c>
      <c r="G38" s="82">
        <f>(F38/(4.18*$E$3))*3600*D38</f>
        <v>215.31100478468903</v>
      </c>
      <c r="H38" s="83">
        <f>E38+G38</f>
        <v>4322.585499184092</v>
      </c>
      <c r="I38" s="84">
        <v>1</v>
      </c>
      <c r="J38" s="85">
        <v>32</v>
      </c>
      <c r="K38" s="86" t="e">
        <f>IF(R38="","",((T38*1000*(M38^2))/(R38*2)))</f>
        <v>#VALUE!</v>
      </c>
      <c r="L38" s="84" t="e">
        <f>IF(J38="","",(K38*I38))</f>
        <v>#VALUE!</v>
      </c>
      <c r="M38" s="84" t="e">
        <f>IF(R38="","",((4*(H38/1000/3600))/((R38^2)*3.141592654)))</f>
        <v>#VALUE!</v>
      </c>
      <c r="N38" s="84">
        <v>0</v>
      </c>
      <c r="O38" s="84" t="e">
        <f>IF(N38="","",(N38*500*(M38^2)))</f>
        <v>#VALUE!</v>
      </c>
      <c r="P38" s="87" t="e">
        <f>IF(O38="","",(O38+L38))</f>
        <v>#VALUE!</v>
      </c>
      <c r="Q38" s="79"/>
      <c r="R38" s="88" t="e">
        <f>IF(J38="","",(di(J38,$Q$2)/1000))</f>
        <v>#VALUE!</v>
      </c>
      <c r="S38" s="79" t="e">
        <f>IF(R38="","",((M38*R38)/0.00000048))</f>
        <v>#VALUE!</v>
      </c>
      <c r="T38" s="79" t="e">
        <f>IF(S38="","",lambda($Q$3,S38,(R38*1000)))</f>
        <v>#VALUE!</v>
      </c>
      <c r="U38" s="56" t="s">
        <v>1</v>
      </c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</row>
    <row r="39" spans="1:51" s="38" customFormat="1" ht="12.75">
      <c r="A39" s="54"/>
      <c r="C39" s="54"/>
      <c r="D39" s="54"/>
      <c r="E39" s="80"/>
      <c r="F39" s="81"/>
      <c r="G39" s="82"/>
      <c r="H39" s="83"/>
      <c r="I39" s="84"/>
      <c r="J39" s="85"/>
      <c r="K39" s="86"/>
      <c r="L39" s="84"/>
      <c r="M39" s="84"/>
      <c r="N39" s="84"/>
      <c r="O39" s="84"/>
      <c r="P39" s="87"/>
      <c r="Q39" s="79"/>
      <c r="R39" s="88"/>
      <c r="S39" s="79"/>
      <c r="T39" s="79"/>
      <c r="U39" s="56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</row>
    <row r="40" spans="1:51" s="38" customFormat="1" ht="12.75">
      <c r="A40" s="54"/>
      <c r="C40" s="54"/>
      <c r="D40" s="54"/>
      <c r="E40" s="80"/>
      <c r="F40" s="81"/>
      <c r="G40" s="82"/>
      <c r="H40" s="83"/>
      <c r="I40" s="84"/>
      <c r="J40" s="85"/>
      <c r="K40" s="86"/>
      <c r="L40" s="84"/>
      <c r="M40" s="84"/>
      <c r="N40" s="84"/>
      <c r="O40" s="84"/>
      <c r="P40" s="87"/>
      <c r="Q40" s="79"/>
      <c r="R40" s="88"/>
      <c r="S40" s="79"/>
      <c r="T40" s="79"/>
      <c r="U40" s="56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</row>
    <row r="41" spans="1:51" s="38" customFormat="1" ht="12.75">
      <c r="A41" s="54"/>
      <c r="C41" s="54"/>
      <c r="D41" s="54"/>
      <c r="E41" s="80"/>
      <c r="F41" s="81"/>
      <c r="G41" s="82"/>
      <c r="H41" s="83"/>
      <c r="I41" s="84"/>
      <c r="J41" s="85"/>
      <c r="K41" s="86"/>
      <c r="L41" s="84"/>
      <c r="M41" s="84"/>
      <c r="N41" s="84"/>
      <c r="O41" s="84"/>
      <c r="P41" s="87"/>
      <c r="Q41" s="79"/>
      <c r="R41" s="88"/>
      <c r="S41" s="79"/>
      <c r="T41" s="79"/>
      <c r="U41" s="56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</row>
    <row r="42" spans="7:51" s="38" customFormat="1" ht="12.75">
      <c r="G42" s="90"/>
      <c r="H42" s="83"/>
      <c r="I42" s="84"/>
      <c r="J42" s="91"/>
      <c r="K42" s="84"/>
      <c r="L42" s="84"/>
      <c r="M42" s="84"/>
      <c r="N42" s="84"/>
      <c r="O42" s="84"/>
      <c r="P42" s="92"/>
      <c r="Q42" s="79"/>
      <c r="R42" s="88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</row>
    <row r="43" spans="1:51" s="38" customFormat="1" ht="12.75">
      <c r="A43" s="93" t="s">
        <v>44</v>
      </c>
      <c r="B43" s="54"/>
      <c r="C43" s="54"/>
      <c r="D43" s="54"/>
      <c r="E43" s="54"/>
      <c r="F43" s="54"/>
      <c r="G43" s="54"/>
      <c r="H43" s="57"/>
      <c r="I43" s="57"/>
      <c r="J43" s="57"/>
      <c r="K43" s="57"/>
      <c r="L43" s="57"/>
      <c r="M43" s="57"/>
      <c r="N43" s="57"/>
      <c r="O43" s="57"/>
      <c r="P43" s="57"/>
      <c r="Q43" s="55"/>
      <c r="R43" s="56"/>
      <c r="S43" s="56"/>
      <c r="T43" s="56"/>
      <c r="U43" s="56"/>
      <c r="V43" s="56"/>
      <c r="W43" s="56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</row>
    <row r="44" spans="1:51" s="95" customFormat="1" ht="63.75">
      <c r="A44" s="58" t="s">
        <v>20</v>
      </c>
      <c r="B44" s="59" t="s">
        <v>40</v>
      </c>
      <c r="C44" s="59" t="s">
        <v>36</v>
      </c>
      <c r="D44" s="59" t="s">
        <v>39</v>
      </c>
      <c r="E44" s="60" t="s">
        <v>37</v>
      </c>
      <c r="F44" s="60" t="s">
        <v>21</v>
      </c>
      <c r="G44" s="61" t="s">
        <v>38</v>
      </c>
      <c r="H44" s="62" t="s">
        <v>33</v>
      </c>
      <c r="I44" s="63" t="s">
        <v>2</v>
      </c>
      <c r="J44" s="64" t="s">
        <v>53</v>
      </c>
      <c r="K44" s="64" t="s">
        <v>4</v>
      </c>
      <c r="L44" s="63" t="s">
        <v>5</v>
      </c>
      <c r="M44" s="65" t="s">
        <v>6</v>
      </c>
      <c r="N44" s="66" t="s">
        <v>7</v>
      </c>
      <c r="O44" s="63" t="s">
        <v>8</v>
      </c>
      <c r="P44" s="67" t="s">
        <v>9</v>
      </c>
      <c r="Q44" s="68"/>
      <c r="R44" s="68" t="s">
        <v>10</v>
      </c>
      <c r="S44" s="68" t="s">
        <v>11</v>
      </c>
      <c r="T44" s="68" t="s">
        <v>12</v>
      </c>
      <c r="U44" s="68"/>
      <c r="V44" s="68"/>
      <c r="W44" s="68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</row>
    <row r="45" spans="1:51" s="38" customFormat="1" ht="12.75">
      <c r="A45" s="70" t="s">
        <v>35</v>
      </c>
      <c r="B45" s="57"/>
      <c r="C45" s="71"/>
      <c r="D45" s="71"/>
      <c r="E45" s="73" t="s">
        <v>29</v>
      </c>
      <c r="F45" s="73"/>
      <c r="G45" s="74" t="s">
        <v>29</v>
      </c>
      <c r="H45" s="57" t="s">
        <v>34</v>
      </c>
      <c r="I45" s="75" t="s">
        <v>13</v>
      </c>
      <c r="J45" s="76" t="s">
        <v>3</v>
      </c>
      <c r="K45" s="76" t="s">
        <v>14</v>
      </c>
      <c r="L45" s="75" t="s">
        <v>15</v>
      </c>
      <c r="M45" s="77" t="s">
        <v>16</v>
      </c>
      <c r="N45" s="75" t="s">
        <v>17</v>
      </c>
      <c r="O45" s="75" t="s">
        <v>15</v>
      </c>
      <c r="P45" s="78" t="s">
        <v>15</v>
      </c>
      <c r="Q45" s="56"/>
      <c r="R45" s="79" t="s">
        <v>13</v>
      </c>
      <c r="S45" s="56"/>
      <c r="T45" s="56"/>
      <c r="U45" s="56" t="s">
        <v>18</v>
      </c>
      <c r="V45" s="56"/>
      <c r="W45" s="56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</row>
    <row r="46" spans="1:51" s="38" customFormat="1" ht="12.75">
      <c r="A46" s="72"/>
      <c r="B46" s="96"/>
      <c r="C46" s="97"/>
      <c r="D46" s="97"/>
      <c r="E46" s="72"/>
      <c r="F46" s="72"/>
      <c r="G46" s="98"/>
      <c r="H46" s="96"/>
      <c r="I46" s="91"/>
      <c r="J46" s="99"/>
      <c r="K46" s="99"/>
      <c r="L46" s="91"/>
      <c r="M46" s="84"/>
      <c r="N46" s="91"/>
      <c r="O46" s="91"/>
      <c r="P46" s="100"/>
      <c r="Q46" s="56"/>
      <c r="R46" s="79"/>
      <c r="S46" s="56"/>
      <c r="T46" s="56"/>
      <c r="U46" s="56"/>
      <c r="V46" s="56"/>
      <c r="W46" s="56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</row>
    <row r="47" spans="1:51" s="38" customFormat="1" ht="12.75">
      <c r="A47" s="54">
        <v>19</v>
      </c>
      <c r="B47" s="38" t="s">
        <v>43</v>
      </c>
      <c r="C47" s="54">
        <f>VLOOKUP(A47,Gleichz!$A$1:$B$100,2)</f>
        <v>4</v>
      </c>
      <c r="D47" s="54">
        <f>IF($C$5=1,A47,A47-C47)</f>
        <v>15</v>
      </c>
      <c r="E47" s="80">
        <f>IF($C$6=40,$E$10,IF($C$6=35,$G$10,"???"))*C47</f>
        <v>8214.548988798806</v>
      </c>
      <c r="F47" s="81">
        <v>5</v>
      </c>
      <c r="G47" s="82">
        <f>(F47/(4.18*$E$3))*3600*D47</f>
        <v>3229.6650717703355</v>
      </c>
      <c r="H47" s="83">
        <f>E47+G47</f>
        <v>11444.214060569142</v>
      </c>
      <c r="I47" s="84">
        <v>1</v>
      </c>
      <c r="J47" s="85">
        <v>50</v>
      </c>
      <c r="K47" s="86" t="e">
        <f>IF(R47="","",((T47*1000*(M47^2))/(R47*2)))</f>
        <v>#VALUE!</v>
      </c>
      <c r="L47" s="84" t="e">
        <f>IF(J47="","",(K47*I47))</f>
        <v>#VALUE!</v>
      </c>
      <c r="M47" s="84" t="e">
        <f>IF(R47="","",((4*(H47/1000/3600))/((R47^2)*3.141592654)))</f>
        <v>#VALUE!</v>
      </c>
      <c r="N47" s="84">
        <v>0</v>
      </c>
      <c r="O47" s="84" t="e">
        <f>IF(N47="","",(N47*500*(M47^2)))</f>
        <v>#VALUE!</v>
      </c>
      <c r="P47" s="87" t="e">
        <f>IF(O47="","",(O47+L47))</f>
        <v>#VALUE!</v>
      </c>
      <c r="Q47" s="79"/>
      <c r="R47" s="88" t="e">
        <f>IF(J47="","",(di(J47,$Q$2)/1000))</f>
        <v>#VALUE!</v>
      </c>
      <c r="S47" s="79" t="e">
        <f>IF(R47="","",((M47*R47)/0.00000048))</f>
        <v>#VALUE!</v>
      </c>
      <c r="T47" s="79" t="e">
        <f>IF(S47="","",lambda($Q$3,S47,(R47*1000)))</f>
        <v>#VALUE!</v>
      </c>
      <c r="U47" s="56" t="s">
        <v>1</v>
      </c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</row>
    <row r="48" spans="1:51" s="89" customFormat="1" ht="12.75">
      <c r="A48" s="54">
        <v>15</v>
      </c>
      <c r="B48" s="38" t="s">
        <v>51</v>
      </c>
      <c r="C48" s="54">
        <f>VLOOKUP(A48,Gleichz!$A$1:$B$100,2)</f>
        <v>4</v>
      </c>
      <c r="D48" s="54">
        <f>IF($C$5=1,A48,A48-C48)</f>
        <v>11</v>
      </c>
      <c r="E48" s="80">
        <f>IF($C$6=40,$E$10,IF($C$6=35,$G$10,"???"))*C48</f>
        <v>8214.548988798806</v>
      </c>
      <c r="F48" s="81">
        <v>5</v>
      </c>
      <c r="G48" s="82">
        <f>(F48/(4.18*$E$3))*3600*D48</f>
        <v>2368.421052631579</v>
      </c>
      <c r="H48" s="83">
        <f>E48+G48</f>
        <v>10582.970041430384</v>
      </c>
      <c r="I48" s="84">
        <v>1</v>
      </c>
      <c r="J48" s="85">
        <v>50</v>
      </c>
      <c r="K48" s="86" t="e">
        <f>IF(R48="","",((T48*1000*(M48^2))/(R48*2)))</f>
        <v>#VALUE!</v>
      </c>
      <c r="L48" s="84" t="e">
        <f>IF(J48="","",(K48*I48))</f>
        <v>#VALUE!</v>
      </c>
      <c r="M48" s="84" t="e">
        <f>IF(R48="","",((4*(H48/1000/3600))/((R48^2)*3.141592654)))</f>
        <v>#VALUE!</v>
      </c>
      <c r="N48" s="84">
        <v>0</v>
      </c>
      <c r="O48" s="84" t="e">
        <f>IF(N48="","",(N48*500*(M48^2)))</f>
        <v>#VALUE!</v>
      </c>
      <c r="P48" s="87" t="e">
        <f>IF(O48="","",(O48+L48))</f>
        <v>#VALUE!</v>
      </c>
      <c r="Q48" s="79"/>
      <c r="R48" s="88" t="e">
        <f>IF(J48="","",(di(J48,$Q$2)/1000))</f>
        <v>#VALUE!</v>
      </c>
      <c r="S48" s="79" t="e">
        <f>IF(R48="","",((M48*R48)/0.00000048))</f>
        <v>#VALUE!</v>
      </c>
      <c r="T48" s="79" t="e">
        <f>IF(S48="","",lambda($Q$3,S48,(R48*1000)))</f>
        <v>#VALUE!</v>
      </c>
      <c r="U48" s="56" t="s">
        <v>1</v>
      </c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</row>
    <row r="49" spans="1:51" s="89" customFormat="1" ht="12.75">
      <c r="A49" s="54">
        <v>11</v>
      </c>
      <c r="B49" s="38" t="s">
        <v>130</v>
      </c>
      <c r="C49" s="54">
        <f>VLOOKUP(A49,Gleichz!$A$1:$B$100,2)</f>
        <v>3</v>
      </c>
      <c r="D49" s="54">
        <f>IF($C$5=1,A49,A49-C49)</f>
        <v>8</v>
      </c>
      <c r="E49" s="80">
        <f>IF($C$6=40,$E$10,IF($C$6=35,$G$10,"???"))*C49</f>
        <v>6160.911741599104</v>
      </c>
      <c r="F49" s="81">
        <v>5</v>
      </c>
      <c r="G49" s="82">
        <f>(F49/(4.18*$E$3))*3600*D49</f>
        <v>1722.4880382775123</v>
      </c>
      <c r="H49" s="83">
        <f>E49+G49</f>
        <v>7883.399779876616</v>
      </c>
      <c r="I49" s="84">
        <v>1</v>
      </c>
      <c r="J49" s="85">
        <v>40</v>
      </c>
      <c r="K49" s="86" t="e">
        <f>IF(R49="","",((T49*1000*(M49^2))/(R49*2)))</f>
        <v>#VALUE!</v>
      </c>
      <c r="L49" s="84" t="e">
        <f>IF(J49="","",(K49*I49))</f>
        <v>#VALUE!</v>
      </c>
      <c r="M49" s="84" t="e">
        <f>IF(R49="","",((4*(H49/1000/3600))/((R49^2)*3.141592654)))</f>
        <v>#VALUE!</v>
      </c>
      <c r="N49" s="84">
        <v>0</v>
      </c>
      <c r="O49" s="84" t="e">
        <f>IF(N49="","",(N49*500*(M49^2)))</f>
        <v>#VALUE!</v>
      </c>
      <c r="P49" s="87" t="e">
        <f>IF(O49="","",(O49+L49))</f>
        <v>#VALUE!</v>
      </c>
      <c r="Q49" s="79"/>
      <c r="R49" s="88" t="e">
        <f>IF(J49="","",(di(J49,$Q$2)/1000))</f>
        <v>#VALUE!</v>
      </c>
      <c r="S49" s="79" t="e">
        <f>IF(R49="","",((M49*R49)/0.00000048))</f>
        <v>#VALUE!</v>
      </c>
      <c r="T49" s="79" t="e">
        <f>IF(S49="","",lambda($Q$3,S49,(R49*1000)))</f>
        <v>#VALUE!</v>
      </c>
      <c r="U49" s="56" t="s">
        <v>1</v>
      </c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</row>
    <row r="50" spans="1:51" s="89" customFormat="1" ht="12.75">
      <c r="A50" s="54">
        <v>7</v>
      </c>
      <c r="B50" s="38" t="s">
        <v>131</v>
      </c>
      <c r="C50" s="54">
        <f>VLOOKUP(A50,Gleichz!$A$1:$B$100,2)</f>
        <v>3</v>
      </c>
      <c r="D50" s="54">
        <f>IF($C$5=1,A50,A50-C50)</f>
        <v>4</v>
      </c>
      <c r="E50" s="80">
        <f>IF($C$6=40,$E$10,IF($C$6=35,$G$10,"???"))*C50</f>
        <v>6160.911741599104</v>
      </c>
      <c r="F50" s="81">
        <v>5</v>
      </c>
      <c r="G50" s="82">
        <f>(F50/(4.18*$E$3))*3600*D50</f>
        <v>861.2440191387561</v>
      </c>
      <c r="H50" s="83">
        <f>E50+G50</f>
        <v>7022.15576073786</v>
      </c>
      <c r="I50" s="84">
        <v>1</v>
      </c>
      <c r="J50" s="85">
        <v>40</v>
      </c>
      <c r="K50" s="86" t="e">
        <f>IF(R50="","",((T50*1000*(M50^2))/(R50*2)))</f>
        <v>#VALUE!</v>
      </c>
      <c r="L50" s="84" t="e">
        <f>IF(J50="","",(K50*I50))</f>
        <v>#VALUE!</v>
      </c>
      <c r="M50" s="84" t="e">
        <f>IF(R50="","",((4*(H50/1000/3600))/((R50^2)*3.141592654)))</f>
        <v>#VALUE!</v>
      </c>
      <c r="N50" s="84">
        <v>0</v>
      </c>
      <c r="O50" s="84" t="e">
        <f>IF(N50="","",(N50*500*(M50^2)))</f>
        <v>#VALUE!</v>
      </c>
      <c r="P50" s="87" t="e">
        <f>IF(O50="","",(O50+L50))</f>
        <v>#VALUE!</v>
      </c>
      <c r="Q50" s="79"/>
      <c r="R50" s="88" t="e">
        <f>IF(J50="","",(di(J50,$Q$2)/1000))</f>
        <v>#VALUE!</v>
      </c>
      <c r="S50" s="79" t="e">
        <f>IF(R50="","",((M50*R50)/0.00000048))</f>
        <v>#VALUE!</v>
      </c>
      <c r="T50" s="79" t="e">
        <f>IF(S50="","",lambda($Q$3,S50,(R50*1000)))</f>
        <v>#VALUE!</v>
      </c>
      <c r="U50" s="56" t="s">
        <v>1</v>
      </c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</row>
    <row r="51" spans="3:13" s="101" customFormat="1" ht="12.75">
      <c r="C51" s="103"/>
      <c r="F51" s="104"/>
      <c r="M51" s="105"/>
    </row>
    <row r="52" spans="1:13" s="101" customFormat="1" ht="12.75">
      <c r="A52" s="106"/>
      <c r="C52" s="107"/>
      <c r="F52" s="104"/>
      <c r="M52" s="105"/>
    </row>
    <row r="53" spans="1:13" s="101" customFormat="1" ht="12.75">
      <c r="A53" s="101" t="s">
        <v>132</v>
      </c>
      <c r="C53" s="103"/>
      <c r="F53" s="104"/>
      <c r="M53" s="105"/>
    </row>
    <row r="54" spans="1:13" s="101" customFormat="1" ht="13.5" thickBot="1">
      <c r="A54" s="4"/>
      <c r="B54" s="4"/>
      <c r="C54" s="4"/>
      <c r="D54" s="4"/>
      <c r="E54" s="4"/>
      <c r="F54" s="4"/>
      <c r="G54" s="4"/>
      <c r="M54" s="105"/>
    </row>
    <row r="55" spans="1:13" s="101" customFormat="1" ht="12.75">
      <c r="A55" s="119" t="s">
        <v>132</v>
      </c>
      <c r="B55" s="120"/>
      <c r="C55" s="120"/>
      <c r="D55" s="120"/>
      <c r="E55" s="120"/>
      <c r="F55" s="121"/>
      <c r="G55" s="4"/>
      <c r="M55" s="105"/>
    </row>
    <row r="56" spans="1:13" s="101" customFormat="1" ht="12.75">
      <c r="A56" s="122"/>
      <c r="B56" s="6"/>
      <c r="C56" s="123" t="s">
        <v>31</v>
      </c>
      <c r="D56" s="123" t="s">
        <v>133</v>
      </c>
      <c r="E56" s="123" t="s">
        <v>137</v>
      </c>
      <c r="F56" s="124" t="s">
        <v>138</v>
      </c>
      <c r="G56" s="4"/>
      <c r="M56" s="105"/>
    </row>
    <row r="57" spans="1:13" s="101" customFormat="1" ht="12.75">
      <c r="A57" s="122" t="s">
        <v>139</v>
      </c>
      <c r="B57" s="6"/>
      <c r="C57" s="125">
        <f>E28</f>
        <v>4107.274494399403</v>
      </c>
      <c r="D57" s="14">
        <f>C57*100000</f>
        <v>410727449.4399403</v>
      </c>
      <c r="E57" s="6"/>
      <c r="F57" s="126"/>
      <c r="G57" s="4"/>
      <c r="M57" s="105"/>
    </row>
    <row r="58" spans="1:13" s="101" customFormat="1" ht="12.75">
      <c r="A58" s="122" t="s">
        <v>140</v>
      </c>
      <c r="B58" s="6"/>
      <c r="C58" s="125">
        <f>D58/100000</f>
        <v>0</v>
      </c>
      <c r="D58" s="14">
        <f>P53</f>
        <v>0</v>
      </c>
      <c r="E58" s="6"/>
      <c r="F58" s="126"/>
      <c r="G58" s="4"/>
      <c r="M58" s="105"/>
    </row>
    <row r="59" spans="1:51" s="79" customFormat="1" ht="12.75">
      <c r="A59" s="122" t="s">
        <v>141</v>
      </c>
      <c r="B59" s="6"/>
      <c r="C59" s="125">
        <f>D59/100000</f>
        <v>0</v>
      </c>
      <c r="D59" s="14">
        <f>D58*1.3</f>
        <v>0</v>
      </c>
      <c r="E59" s="127">
        <v>0.3</v>
      </c>
      <c r="F59" s="126"/>
      <c r="G59" s="4"/>
      <c r="H59" s="102"/>
      <c r="I59" s="102"/>
      <c r="J59" s="102"/>
      <c r="K59" s="102"/>
      <c r="L59" s="102"/>
      <c r="M59" s="108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</row>
    <row r="60" spans="1:51" s="79" customFormat="1" ht="12.75">
      <c r="A60" s="122" t="s">
        <v>142</v>
      </c>
      <c r="B60" s="6"/>
      <c r="C60" s="128" t="e">
        <f>((E25/1000)/F60)^2</f>
        <v>#VALUE!</v>
      </c>
      <c r="D60" s="14" t="e">
        <f>C60*100000</f>
        <v>#VALUE!</v>
      </c>
      <c r="E60" s="6"/>
      <c r="F60" s="126">
        <v>3.5</v>
      </c>
      <c r="G60" s="4"/>
      <c r="H60" s="102"/>
      <c r="I60" s="102"/>
      <c r="J60" s="102"/>
      <c r="K60" s="102"/>
      <c r="L60" s="102"/>
      <c r="M60" s="108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</row>
    <row r="61" spans="1:51" s="79" customFormat="1" ht="12.75">
      <c r="A61" s="122"/>
      <c r="B61" s="6"/>
      <c r="C61" s="6"/>
      <c r="D61" s="6"/>
      <c r="E61" s="6"/>
      <c r="F61" s="126"/>
      <c r="G61" s="4"/>
      <c r="H61" s="102"/>
      <c r="I61" s="102"/>
      <c r="J61" s="102"/>
      <c r="K61" s="102"/>
      <c r="L61" s="102"/>
      <c r="M61" s="108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</row>
    <row r="62" spans="1:51" s="79" customFormat="1" ht="12.75">
      <c r="A62" s="122" t="s">
        <v>143</v>
      </c>
      <c r="B62" s="6"/>
      <c r="C62" s="125" t="e">
        <f>SUM(C57:C61)</f>
        <v>#VALUE!</v>
      </c>
      <c r="D62" s="14" t="e">
        <f>SUM(D57:D61)</f>
        <v>#VALUE!</v>
      </c>
      <c r="E62" s="6"/>
      <c r="F62" s="126"/>
      <c r="G62" s="4"/>
      <c r="H62" s="102"/>
      <c r="I62" s="102"/>
      <c r="J62" s="102"/>
      <c r="K62" s="102"/>
      <c r="L62" s="102"/>
      <c r="M62" s="108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</row>
    <row r="63" spans="1:51" s="79" customFormat="1" ht="13.5" thickBot="1">
      <c r="A63" s="129"/>
      <c r="B63" s="130"/>
      <c r="C63" s="130"/>
      <c r="D63" s="130"/>
      <c r="E63" s="130"/>
      <c r="F63" s="131"/>
      <c r="G63" s="4"/>
      <c r="H63" s="102"/>
      <c r="I63" s="102"/>
      <c r="J63" s="102"/>
      <c r="K63" s="102"/>
      <c r="L63" s="102"/>
      <c r="M63" s="108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</row>
    <row r="64" spans="1:51" s="79" customFormat="1" ht="12.75">
      <c r="A64" s="4"/>
      <c r="B64" s="4"/>
      <c r="C64" s="4"/>
      <c r="D64" s="4"/>
      <c r="E64" s="4"/>
      <c r="F64" s="4"/>
      <c r="G64" s="4"/>
      <c r="H64" s="102"/>
      <c r="I64" s="102"/>
      <c r="J64" s="102"/>
      <c r="K64" s="102"/>
      <c r="L64" s="102"/>
      <c r="M64" s="108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</row>
    <row r="65" spans="8:51" s="79" customFormat="1" ht="12.75">
      <c r="H65" s="102"/>
      <c r="I65" s="102"/>
      <c r="J65" s="102"/>
      <c r="K65" s="102"/>
      <c r="L65" s="102"/>
      <c r="M65" s="108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</row>
    <row r="66" spans="8:51" s="79" customFormat="1" ht="12.75">
      <c r="H66" s="102"/>
      <c r="I66" s="102"/>
      <c r="J66" s="102"/>
      <c r="K66" s="102"/>
      <c r="L66" s="102"/>
      <c r="M66" s="108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</row>
    <row r="67" spans="8:51" s="79" customFormat="1" ht="12.75">
      <c r="H67" s="102"/>
      <c r="I67" s="102"/>
      <c r="J67" s="102"/>
      <c r="K67" s="102"/>
      <c r="L67" s="102"/>
      <c r="M67" s="108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</row>
    <row r="68" spans="8:51" s="79" customFormat="1" ht="12.75">
      <c r="H68" s="102"/>
      <c r="I68" s="102"/>
      <c r="J68" s="102"/>
      <c r="K68" s="102"/>
      <c r="L68" s="102"/>
      <c r="M68" s="108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</row>
    <row r="69" spans="8:51" s="79" customFormat="1" ht="12.75">
      <c r="H69" s="102"/>
      <c r="I69" s="102"/>
      <c r="J69" s="102"/>
      <c r="K69" s="102"/>
      <c r="L69" s="102"/>
      <c r="M69" s="108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</row>
    <row r="70" spans="8:51" s="79" customFormat="1" ht="12.75">
      <c r="H70" s="102"/>
      <c r="I70" s="102"/>
      <c r="J70" s="102"/>
      <c r="K70" s="102"/>
      <c r="L70" s="102"/>
      <c r="M70" s="108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</row>
    <row r="71" spans="8:51" s="79" customFormat="1" ht="12.75">
      <c r="H71" s="102"/>
      <c r="I71" s="102"/>
      <c r="J71" s="102"/>
      <c r="K71" s="102"/>
      <c r="L71" s="102"/>
      <c r="M71" s="108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</row>
    <row r="72" spans="8:51" s="79" customFormat="1" ht="12.75">
      <c r="H72" s="102"/>
      <c r="I72" s="102"/>
      <c r="J72" s="102"/>
      <c r="K72" s="102"/>
      <c r="L72" s="102"/>
      <c r="M72" s="108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</row>
    <row r="73" spans="8:51" s="79" customFormat="1" ht="12.75">
      <c r="H73" s="102"/>
      <c r="I73" s="102"/>
      <c r="J73" s="102"/>
      <c r="K73" s="102"/>
      <c r="L73" s="102"/>
      <c r="M73" s="108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</row>
    <row r="74" spans="8:51" s="79" customFormat="1" ht="12.75">
      <c r="H74" s="102"/>
      <c r="I74" s="102"/>
      <c r="J74" s="102"/>
      <c r="K74" s="102"/>
      <c r="L74" s="102"/>
      <c r="M74" s="108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</row>
    <row r="75" spans="8:51" s="79" customFormat="1" ht="12.75">
      <c r="H75" s="102"/>
      <c r="I75" s="102"/>
      <c r="J75" s="102"/>
      <c r="K75" s="102"/>
      <c r="L75" s="102"/>
      <c r="M75" s="108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</row>
    <row r="76" spans="8:51" s="79" customFormat="1" ht="12.75">
      <c r="H76" s="102"/>
      <c r="I76" s="102"/>
      <c r="J76" s="102"/>
      <c r="K76" s="102"/>
      <c r="L76" s="102"/>
      <c r="M76" s="108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</row>
    <row r="77" spans="8:51" s="79" customFormat="1" ht="12.75">
      <c r="H77" s="102"/>
      <c r="I77" s="102"/>
      <c r="J77" s="102"/>
      <c r="K77" s="102"/>
      <c r="L77" s="102"/>
      <c r="M77" s="108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</row>
    <row r="78" spans="8:51" s="79" customFormat="1" ht="12.75">
      <c r="H78" s="102"/>
      <c r="I78" s="102"/>
      <c r="J78" s="102"/>
      <c r="K78" s="102"/>
      <c r="L78" s="102"/>
      <c r="M78" s="108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</row>
    <row r="79" spans="8:51" s="79" customFormat="1" ht="12.75">
      <c r="H79" s="102"/>
      <c r="I79" s="102"/>
      <c r="J79" s="102"/>
      <c r="K79" s="102"/>
      <c r="L79" s="102"/>
      <c r="M79" s="108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</row>
    <row r="80" spans="8:51" s="79" customFormat="1" ht="12.75">
      <c r="H80" s="102"/>
      <c r="I80" s="102"/>
      <c r="J80" s="102"/>
      <c r="K80" s="102"/>
      <c r="L80" s="102"/>
      <c r="M80" s="108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</row>
    <row r="81" spans="8:51" s="79" customFormat="1" ht="12.75">
      <c r="H81" s="102"/>
      <c r="I81" s="102"/>
      <c r="J81" s="102"/>
      <c r="K81" s="102"/>
      <c r="L81" s="102"/>
      <c r="M81" s="108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</row>
    <row r="82" spans="8:51" s="79" customFormat="1" ht="12.75">
      <c r="H82" s="102"/>
      <c r="I82" s="102"/>
      <c r="J82" s="102"/>
      <c r="K82" s="102"/>
      <c r="L82" s="102"/>
      <c r="M82" s="108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</row>
    <row r="83" spans="8:51" s="79" customFormat="1" ht="12.75">
      <c r="H83" s="102"/>
      <c r="I83" s="102"/>
      <c r="J83" s="102"/>
      <c r="K83" s="102"/>
      <c r="L83" s="102"/>
      <c r="M83" s="108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</row>
    <row r="84" spans="8:51" s="79" customFormat="1" ht="12.75">
      <c r="H84" s="102"/>
      <c r="I84" s="102"/>
      <c r="J84" s="102"/>
      <c r="K84" s="102"/>
      <c r="L84" s="102"/>
      <c r="M84" s="108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</row>
    <row r="85" spans="8:51" s="4" customFormat="1" ht="12.75">
      <c r="H85" s="6"/>
      <c r="I85" s="6"/>
      <c r="J85" s="6"/>
      <c r="K85" s="6"/>
      <c r="L85" s="6"/>
      <c r="M85" s="14"/>
      <c r="N85" s="6"/>
      <c r="O85" s="6"/>
      <c r="P85" s="6"/>
      <c r="Q85" s="6"/>
      <c r="R85" s="12"/>
      <c r="S85" s="12"/>
      <c r="T85" s="12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</row>
    <row r="86" spans="8:51" s="4" customFormat="1" ht="12.75">
      <c r="H86" s="6"/>
      <c r="I86" s="6"/>
      <c r="J86" s="6"/>
      <c r="K86" s="6"/>
      <c r="L86" s="6"/>
      <c r="M86" s="14"/>
      <c r="N86" s="6"/>
      <c r="O86" s="6"/>
      <c r="P86" s="6"/>
      <c r="Q86" s="6"/>
      <c r="R86" s="12"/>
      <c r="S86" s="12"/>
      <c r="T86" s="12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</row>
    <row r="87" spans="8:51" s="4" customFormat="1" ht="12.75">
      <c r="H87" s="6"/>
      <c r="I87" s="6"/>
      <c r="J87" s="6"/>
      <c r="K87" s="6"/>
      <c r="L87" s="6"/>
      <c r="M87" s="14"/>
      <c r="N87" s="6"/>
      <c r="O87" s="6"/>
      <c r="P87" s="6"/>
      <c r="Q87" s="6"/>
      <c r="R87" s="12"/>
      <c r="S87" s="12"/>
      <c r="T87" s="12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</row>
    <row r="88" spans="8:51" s="4" customFormat="1" ht="12.75">
      <c r="H88" s="6"/>
      <c r="I88" s="6"/>
      <c r="J88" s="6"/>
      <c r="K88" s="6"/>
      <c r="L88" s="6"/>
      <c r="M88" s="14"/>
      <c r="N88" s="6"/>
      <c r="O88" s="6"/>
      <c r="P88" s="6"/>
      <c r="Q88" s="6"/>
      <c r="R88" s="12"/>
      <c r="S88" s="12"/>
      <c r="T88" s="12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</row>
    <row r="89" spans="8:51" s="4" customFormat="1" ht="12.75">
      <c r="H89" s="6"/>
      <c r="I89" s="6"/>
      <c r="J89" s="6"/>
      <c r="K89" s="6"/>
      <c r="L89" s="6"/>
      <c r="M89" s="14"/>
      <c r="N89" s="6"/>
      <c r="O89" s="6"/>
      <c r="P89" s="6"/>
      <c r="Q89" s="6"/>
      <c r="R89" s="12"/>
      <c r="S89" s="12"/>
      <c r="T89" s="12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</row>
    <row r="90" spans="8:51" s="4" customFormat="1" ht="12.75">
      <c r="H90" s="6"/>
      <c r="I90" s="6"/>
      <c r="J90" s="6"/>
      <c r="K90" s="6"/>
      <c r="L90" s="6"/>
      <c r="M90" s="14"/>
      <c r="N90" s="6"/>
      <c r="O90" s="6"/>
      <c r="P90" s="6"/>
      <c r="Q90" s="6"/>
      <c r="R90" s="12"/>
      <c r="S90" s="12"/>
      <c r="T90" s="12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</row>
    <row r="91" spans="8:51" s="4" customFormat="1" ht="12.75">
      <c r="H91" s="6"/>
      <c r="I91" s="6"/>
      <c r="J91" s="6"/>
      <c r="K91" s="6"/>
      <c r="L91" s="6"/>
      <c r="M91" s="14"/>
      <c r="N91" s="6"/>
      <c r="O91" s="6"/>
      <c r="P91" s="6"/>
      <c r="Q91" s="6"/>
      <c r="R91" s="12"/>
      <c r="S91" s="12"/>
      <c r="T91" s="12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</row>
    <row r="92" spans="8:51" s="4" customFormat="1" ht="12.75">
      <c r="H92" s="6"/>
      <c r="I92" s="6"/>
      <c r="J92" s="6"/>
      <c r="K92" s="6"/>
      <c r="L92" s="6"/>
      <c r="M92" s="14"/>
      <c r="N92" s="6"/>
      <c r="O92" s="6"/>
      <c r="P92" s="6"/>
      <c r="Q92" s="6"/>
      <c r="R92" s="12"/>
      <c r="S92" s="12"/>
      <c r="T92" s="12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</row>
    <row r="93" spans="8:51" s="4" customFormat="1" ht="12.75">
      <c r="H93" s="6"/>
      <c r="I93" s="6"/>
      <c r="J93" s="6"/>
      <c r="K93" s="6"/>
      <c r="L93" s="6"/>
      <c r="M93" s="14"/>
      <c r="N93" s="6"/>
      <c r="O93" s="6"/>
      <c r="P93" s="6"/>
      <c r="Q93" s="6"/>
      <c r="R93" s="12"/>
      <c r="S93" s="12"/>
      <c r="T93" s="12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</row>
    <row r="94" spans="8:51" s="4" customFormat="1" ht="12.75">
      <c r="H94" s="6"/>
      <c r="I94" s="6"/>
      <c r="J94" s="6"/>
      <c r="K94" s="6"/>
      <c r="L94" s="6"/>
      <c r="M94" s="14"/>
      <c r="N94" s="6"/>
      <c r="O94" s="6"/>
      <c r="P94" s="6"/>
      <c r="Q94" s="6"/>
      <c r="R94" s="12"/>
      <c r="S94" s="12"/>
      <c r="T94" s="12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</row>
    <row r="95" spans="8:51" s="4" customFormat="1" ht="12.75">
      <c r="H95" s="6"/>
      <c r="I95" s="6"/>
      <c r="J95" s="6"/>
      <c r="K95" s="6"/>
      <c r="L95" s="6"/>
      <c r="M95" s="14"/>
      <c r="N95" s="6"/>
      <c r="O95" s="6"/>
      <c r="P95" s="6"/>
      <c r="Q95" s="6"/>
      <c r="R95" s="12"/>
      <c r="S95" s="12"/>
      <c r="T95" s="12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</row>
    <row r="96" spans="8:51" s="4" customFormat="1" ht="12.75">
      <c r="H96" s="6"/>
      <c r="I96" s="6"/>
      <c r="J96" s="6"/>
      <c r="K96" s="6"/>
      <c r="L96" s="6"/>
      <c r="M96" s="14"/>
      <c r="N96" s="6"/>
      <c r="O96" s="6"/>
      <c r="P96" s="6"/>
      <c r="Q96" s="6"/>
      <c r="R96" s="12"/>
      <c r="S96" s="12"/>
      <c r="T96" s="12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</row>
    <row r="97" spans="8:51" s="4" customFormat="1" ht="12.75">
      <c r="H97" s="6"/>
      <c r="I97" s="6"/>
      <c r="J97" s="6"/>
      <c r="K97" s="6"/>
      <c r="L97" s="6"/>
      <c r="M97" s="14"/>
      <c r="N97" s="6"/>
      <c r="O97" s="6"/>
      <c r="P97" s="6"/>
      <c r="Q97" s="6"/>
      <c r="R97" s="12"/>
      <c r="S97" s="12"/>
      <c r="T97" s="12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</row>
    <row r="98" spans="8:51" s="4" customFormat="1" ht="12.75">
      <c r="H98" s="6"/>
      <c r="I98" s="6"/>
      <c r="J98" s="6"/>
      <c r="K98" s="6"/>
      <c r="L98" s="6"/>
      <c r="M98" s="14"/>
      <c r="N98" s="6"/>
      <c r="O98" s="6"/>
      <c r="P98" s="6"/>
      <c r="Q98" s="6"/>
      <c r="R98" s="12"/>
      <c r="S98" s="12"/>
      <c r="T98" s="12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</row>
    <row r="99" spans="8:51" s="4" customFormat="1" ht="12.75">
      <c r="H99" s="6"/>
      <c r="I99" s="6"/>
      <c r="J99" s="6"/>
      <c r="K99" s="6"/>
      <c r="L99" s="6"/>
      <c r="M99" s="14"/>
      <c r="N99" s="6"/>
      <c r="O99" s="6"/>
      <c r="P99" s="6"/>
      <c r="Q99" s="6"/>
      <c r="R99" s="12"/>
      <c r="S99" s="12"/>
      <c r="T99" s="12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</row>
    <row r="100" spans="8:51" s="4" customFormat="1" ht="12.75">
      <c r="H100" s="6"/>
      <c r="I100" s="6"/>
      <c r="J100" s="6"/>
      <c r="K100" s="6"/>
      <c r="L100" s="6"/>
      <c r="M100" s="14"/>
      <c r="N100" s="6"/>
      <c r="O100" s="6"/>
      <c r="P100" s="6"/>
      <c r="Q100" s="6"/>
      <c r="R100" s="12"/>
      <c r="S100" s="12"/>
      <c r="T100" s="12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</row>
    <row r="101" spans="8:51" s="4" customFormat="1" ht="12.75">
      <c r="H101" s="6"/>
      <c r="I101" s="6"/>
      <c r="J101" s="6"/>
      <c r="K101" s="6"/>
      <c r="L101" s="6"/>
      <c r="M101" s="14"/>
      <c r="N101" s="6"/>
      <c r="O101" s="6"/>
      <c r="P101" s="6"/>
      <c r="Q101" s="6"/>
      <c r="R101" s="12"/>
      <c r="S101" s="12"/>
      <c r="T101" s="12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</row>
    <row r="102" spans="8:51" s="4" customFormat="1" ht="12.75">
      <c r="H102" s="6"/>
      <c r="I102" s="6"/>
      <c r="J102" s="6"/>
      <c r="K102" s="6"/>
      <c r="L102" s="6"/>
      <c r="M102" s="14"/>
      <c r="N102" s="6"/>
      <c r="O102" s="6"/>
      <c r="P102" s="6"/>
      <c r="Q102" s="6"/>
      <c r="R102" s="12"/>
      <c r="S102" s="12"/>
      <c r="T102" s="12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</row>
    <row r="103" spans="8:51" s="4" customFormat="1" ht="12.75">
      <c r="H103" s="6"/>
      <c r="I103" s="6"/>
      <c r="J103" s="6"/>
      <c r="K103" s="6"/>
      <c r="L103" s="6"/>
      <c r="M103" s="14"/>
      <c r="N103" s="6"/>
      <c r="O103" s="6"/>
      <c r="P103" s="6"/>
      <c r="Q103" s="6"/>
      <c r="R103" s="12"/>
      <c r="S103" s="12"/>
      <c r="T103" s="12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</row>
    <row r="104" spans="8:51" s="4" customFormat="1" ht="12.75">
      <c r="H104" s="6"/>
      <c r="I104" s="6"/>
      <c r="J104" s="6"/>
      <c r="K104" s="6"/>
      <c r="L104" s="6"/>
      <c r="M104" s="14"/>
      <c r="N104" s="6"/>
      <c r="O104" s="6"/>
      <c r="P104" s="6"/>
      <c r="Q104" s="6"/>
      <c r="R104" s="12"/>
      <c r="S104" s="12"/>
      <c r="T104" s="12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</row>
    <row r="105" spans="8:51" s="4" customFormat="1" ht="12.75">
      <c r="H105" s="6"/>
      <c r="I105" s="6"/>
      <c r="J105" s="6"/>
      <c r="K105" s="6"/>
      <c r="L105" s="6"/>
      <c r="M105" s="14"/>
      <c r="N105" s="6"/>
      <c r="O105" s="6"/>
      <c r="P105" s="6"/>
      <c r="Q105" s="6"/>
      <c r="R105" s="12"/>
      <c r="S105" s="12"/>
      <c r="T105" s="12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</row>
    <row r="106" spans="8:51" s="4" customFormat="1" ht="12.75">
      <c r="H106" s="6"/>
      <c r="I106" s="6"/>
      <c r="J106" s="6"/>
      <c r="K106" s="6"/>
      <c r="L106" s="6"/>
      <c r="M106" s="14"/>
      <c r="N106" s="6"/>
      <c r="O106" s="6"/>
      <c r="P106" s="6"/>
      <c r="Q106" s="6"/>
      <c r="R106" s="12"/>
      <c r="S106" s="12"/>
      <c r="T106" s="12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</row>
    <row r="107" spans="8:51" s="4" customFormat="1" ht="12.75">
      <c r="H107" s="6"/>
      <c r="I107" s="6"/>
      <c r="J107" s="6"/>
      <c r="K107" s="6"/>
      <c r="L107" s="6"/>
      <c r="M107" s="14"/>
      <c r="N107" s="6"/>
      <c r="O107" s="6"/>
      <c r="P107" s="6"/>
      <c r="Q107" s="6"/>
      <c r="R107" s="12"/>
      <c r="S107" s="12"/>
      <c r="T107" s="12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</row>
    <row r="108" spans="8:51" s="4" customFormat="1" ht="12.75">
      <c r="H108" s="6"/>
      <c r="I108" s="6"/>
      <c r="J108" s="6"/>
      <c r="K108" s="6"/>
      <c r="L108" s="6"/>
      <c r="M108" s="14"/>
      <c r="N108" s="6"/>
      <c r="O108" s="6"/>
      <c r="P108" s="6"/>
      <c r="Q108" s="6"/>
      <c r="R108" s="12"/>
      <c r="S108" s="12"/>
      <c r="T108" s="12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</row>
    <row r="109" spans="8:51" s="4" customFormat="1" ht="12.75">
      <c r="H109" s="6"/>
      <c r="I109" s="6"/>
      <c r="J109" s="6"/>
      <c r="K109" s="6"/>
      <c r="L109" s="6"/>
      <c r="M109" s="14"/>
      <c r="N109" s="6"/>
      <c r="O109" s="6"/>
      <c r="P109" s="6"/>
      <c r="Q109" s="6"/>
      <c r="R109" s="12"/>
      <c r="S109" s="12"/>
      <c r="T109" s="12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</row>
    <row r="110" spans="8:51" s="4" customFormat="1" ht="12.75">
      <c r="H110" s="6"/>
      <c r="I110" s="6"/>
      <c r="J110" s="6"/>
      <c r="K110" s="6"/>
      <c r="L110" s="6"/>
      <c r="M110" s="14"/>
      <c r="N110" s="6"/>
      <c r="O110" s="6"/>
      <c r="P110" s="6"/>
      <c r="Q110" s="6"/>
      <c r="R110" s="12"/>
      <c r="S110" s="12"/>
      <c r="T110" s="12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</row>
    <row r="111" spans="8:51" s="4" customFormat="1" ht="12.75">
      <c r="H111" s="6"/>
      <c r="I111" s="6"/>
      <c r="J111" s="6"/>
      <c r="K111" s="6"/>
      <c r="L111" s="6"/>
      <c r="M111" s="14"/>
      <c r="N111" s="6"/>
      <c r="O111" s="6"/>
      <c r="P111" s="6"/>
      <c r="Q111" s="6"/>
      <c r="R111" s="12"/>
      <c r="S111" s="12"/>
      <c r="T111" s="12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</row>
    <row r="112" spans="8:51" s="4" customFormat="1" ht="12.75">
      <c r="H112" s="6"/>
      <c r="I112" s="6"/>
      <c r="J112" s="6"/>
      <c r="K112" s="6"/>
      <c r="L112" s="6"/>
      <c r="M112" s="14"/>
      <c r="N112" s="6"/>
      <c r="O112" s="6"/>
      <c r="P112" s="6"/>
      <c r="Q112" s="6"/>
      <c r="R112" s="12"/>
      <c r="S112" s="12"/>
      <c r="T112" s="12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</row>
    <row r="113" spans="8:51" s="4" customFormat="1" ht="12.75">
      <c r="H113" s="6"/>
      <c r="I113" s="6"/>
      <c r="J113" s="6"/>
      <c r="K113" s="6"/>
      <c r="L113" s="6"/>
      <c r="M113" s="14"/>
      <c r="N113" s="6"/>
      <c r="O113" s="6"/>
      <c r="P113" s="6"/>
      <c r="Q113" s="6"/>
      <c r="R113" s="12"/>
      <c r="S113" s="12"/>
      <c r="T113" s="12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</row>
    <row r="114" spans="8:51" s="4" customFormat="1" ht="12.75">
      <c r="H114" s="6"/>
      <c r="I114" s="6"/>
      <c r="J114" s="6"/>
      <c r="K114" s="6"/>
      <c r="L114" s="6"/>
      <c r="M114" s="14"/>
      <c r="N114" s="6"/>
      <c r="O114" s="6"/>
      <c r="P114" s="6"/>
      <c r="Q114" s="6"/>
      <c r="R114" s="12"/>
      <c r="S114" s="12"/>
      <c r="T114" s="12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</row>
    <row r="115" spans="8:51" s="4" customFormat="1" ht="12.75">
      <c r="H115" s="6"/>
      <c r="I115" s="6"/>
      <c r="J115" s="6"/>
      <c r="K115" s="6"/>
      <c r="L115" s="6"/>
      <c r="M115" s="14"/>
      <c r="N115" s="6"/>
      <c r="O115" s="6"/>
      <c r="P115" s="6"/>
      <c r="Q115" s="6"/>
      <c r="R115" s="12"/>
      <c r="S115" s="12"/>
      <c r="T115" s="12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</row>
    <row r="116" spans="8:51" s="4" customFormat="1" ht="12.75">
      <c r="H116" s="6"/>
      <c r="I116" s="6"/>
      <c r="J116" s="6"/>
      <c r="K116" s="6"/>
      <c r="L116" s="6"/>
      <c r="M116" s="14"/>
      <c r="N116" s="6"/>
      <c r="O116" s="6"/>
      <c r="P116" s="6"/>
      <c r="Q116" s="6"/>
      <c r="R116" s="12"/>
      <c r="S116" s="12"/>
      <c r="T116" s="12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</row>
    <row r="117" spans="8:51" s="4" customFormat="1" ht="12.75">
      <c r="H117" s="6"/>
      <c r="I117" s="6"/>
      <c r="J117" s="6"/>
      <c r="K117" s="6"/>
      <c r="L117" s="6"/>
      <c r="M117" s="14"/>
      <c r="N117" s="6"/>
      <c r="O117" s="6"/>
      <c r="P117" s="6"/>
      <c r="Q117" s="6"/>
      <c r="R117" s="12"/>
      <c r="S117" s="12"/>
      <c r="T117" s="12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</row>
    <row r="118" spans="8:51" s="4" customFormat="1" ht="12.75">
      <c r="H118" s="6"/>
      <c r="I118" s="6"/>
      <c r="J118" s="6"/>
      <c r="K118" s="6"/>
      <c r="L118" s="6"/>
      <c r="M118" s="14"/>
      <c r="N118" s="6"/>
      <c r="O118" s="6"/>
      <c r="P118" s="6"/>
      <c r="Q118" s="6"/>
      <c r="R118" s="12"/>
      <c r="S118" s="12"/>
      <c r="T118" s="12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</row>
    <row r="119" spans="8:51" s="4" customFormat="1" ht="12.75">
      <c r="H119" s="6"/>
      <c r="I119" s="6"/>
      <c r="J119" s="6"/>
      <c r="K119" s="6"/>
      <c r="L119" s="6"/>
      <c r="M119" s="14"/>
      <c r="N119" s="6"/>
      <c r="O119" s="6"/>
      <c r="P119" s="6"/>
      <c r="Q119" s="6"/>
      <c r="R119" s="12"/>
      <c r="S119" s="12"/>
      <c r="T119" s="12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</row>
    <row r="120" spans="8:51" s="4" customFormat="1" ht="12.75">
      <c r="H120" s="6"/>
      <c r="I120" s="6"/>
      <c r="J120" s="6"/>
      <c r="K120" s="6"/>
      <c r="L120" s="6"/>
      <c r="M120" s="14"/>
      <c r="N120" s="6"/>
      <c r="O120" s="6"/>
      <c r="P120" s="6"/>
      <c r="Q120" s="6"/>
      <c r="R120" s="12"/>
      <c r="S120" s="12"/>
      <c r="T120" s="12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</row>
    <row r="121" spans="8:51" s="4" customFormat="1" ht="12.75">
      <c r="H121" s="6"/>
      <c r="I121" s="6"/>
      <c r="J121" s="6"/>
      <c r="K121" s="6"/>
      <c r="L121" s="6"/>
      <c r="M121" s="14"/>
      <c r="N121" s="6"/>
      <c r="O121" s="6"/>
      <c r="P121" s="6"/>
      <c r="Q121" s="6"/>
      <c r="R121" s="12"/>
      <c r="S121" s="12"/>
      <c r="T121" s="12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</row>
    <row r="122" spans="8:51" s="4" customFormat="1" ht="12.75">
      <c r="H122" s="6"/>
      <c r="I122" s="6"/>
      <c r="J122" s="6"/>
      <c r="K122" s="6"/>
      <c r="L122" s="6"/>
      <c r="M122" s="14"/>
      <c r="N122" s="6"/>
      <c r="O122" s="6"/>
      <c r="P122" s="6"/>
      <c r="Q122" s="6"/>
      <c r="R122" s="12"/>
      <c r="S122" s="12"/>
      <c r="T122" s="12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</row>
    <row r="123" spans="8:51" s="4" customFormat="1" ht="12.75">
      <c r="H123" s="6"/>
      <c r="I123" s="6"/>
      <c r="J123" s="6"/>
      <c r="K123" s="6"/>
      <c r="L123" s="6"/>
      <c r="M123" s="14"/>
      <c r="N123" s="6"/>
      <c r="O123" s="6"/>
      <c r="P123" s="6"/>
      <c r="Q123" s="6"/>
      <c r="R123" s="12"/>
      <c r="S123" s="12"/>
      <c r="T123" s="12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</row>
    <row r="124" spans="8:51" s="4" customFormat="1" ht="12.75">
      <c r="H124" s="6"/>
      <c r="I124" s="6"/>
      <c r="J124" s="6"/>
      <c r="K124" s="6"/>
      <c r="L124" s="6"/>
      <c r="M124" s="14"/>
      <c r="N124" s="6"/>
      <c r="O124" s="6"/>
      <c r="P124" s="6"/>
      <c r="Q124" s="6"/>
      <c r="R124" s="12"/>
      <c r="S124" s="12"/>
      <c r="T124" s="12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</row>
    <row r="125" spans="8:51" s="4" customFormat="1" ht="12.75">
      <c r="H125" s="6"/>
      <c r="I125" s="6"/>
      <c r="J125" s="6"/>
      <c r="K125" s="6"/>
      <c r="L125" s="6"/>
      <c r="M125" s="14"/>
      <c r="N125" s="6"/>
      <c r="O125" s="6"/>
      <c r="P125" s="6"/>
      <c r="Q125" s="6"/>
      <c r="R125" s="12"/>
      <c r="S125" s="12"/>
      <c r="T125" s="12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</row>
    <row r="126" spans="8:51" s="4" customFormat="1" ht="12.75">
      <c r="H126" s="6"/>
      <c r="I126" s="6"/>
      <c r="J126" s="6"/>
      <c r="K126" s="6"/>
      <c r="L126" s="6"/>
      <c r="M126" s="14"/>
      <c r="N126" s="6"/>
      <c r="O126" s="6"/>
      <c r="P126" s="6"/>
      <c r="Q126" s="6"/>
      <c r="R126" s="12"/>
      <c r="S126" s="12"/>
      <c r="T126" s="12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</row>
    <row r="127" spans="8:51" s="4" customFormat="1" ht="12.75">
      <c r="H127" s="6"/>
      <c r="I127" s="6"/>
      <c r="J127" s="6"/>
      <c r="K127" s="6"/>
      <c r="L127" s="6"/>
      <c r="M127" s="14"/>
      <c r="N127" s="6"/>
      <c r="O127" s="6"/>
      <c r="P127" s="6"/>
      <c r="Q127" s="6"/>
      <c r="R127" s="12"/>
      <c r="S127" s="12"/>
      <c r="T127" s="12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</row>
    <row r="128" spans="8:51" s="4" customFormat="1" ht="12.75">
      <c r="H128" s="6"/>
      <c r="I128" s="6"/>
      <c r="J128" s="6"/>
      <c r="K128" s="6"/>
      <c r="L128" s="6"/>
      <c r="M128" s="14"/>
      <c r="N128" s="6"/>
      <c r="O128" s="6"/>
      <c r="P128" s="6"/>
      <c r="Q128" s="6"/>
      <c r="R128" s="12"/>
      <c r="S128" s="12"/>
      <c r="T128" s="12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</row>
    <row r="129" spans="8:51" s="4" customFormat="1" ht="12.75">
      <c r="H129" s="6"/>
      <c r="I129" s="6"/>
      <c r="J129" s="6"/>
      <c r="K129" s="6"/>
      <c r="L129" s="6"/>
      <c r="M129" s="14"/>
      <c r="N129" s="6"/>
      <c r="O129" s="6"/>
      <c r="P129" s="6"/>
      <c r="Q129" s="6"/>
      <c r="R129" s="12"/>
      <c r="S129" s="12"/>
      <c r="T129" s="12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</row>
    <row r="130" spans="8:51" s="4" customFormat="1" ht="12.75">
      <c r="H130" s="6"/>
      <c r="I130" s="6"/>
      <c r="J130" s="6"/>
      <c r="K130" s="6"/>
      <c r="L130" s="6"/>
      <c r="M130" s="14"/>
      <c r="N130" s="6"/>
      <c r="O130" s="6"/>
      <c r="P130" s="6"/>
      <c r="Q130" s="6"/>
      <c r="R130" s="12"/>
      <c r="S130" s="12"/>
      <c r="T130" s="12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</row>
    <row r="131" spans="8:51" s="4" customFormat="1" ht="12.75">
      <c r="H131" s="6"/>
      <c r="I131" s="6"/>
      <c r="J131" s="6"/>
      <c r="K131" s="6"/>
      <c r="L131" s="6"/>
      <c r="M131" s="14"/>
      <c r="N131" s="6"/>
      <c r="O131" s="6"/>
      <c r="P131" s="6"/>
      <c r="Q131" s="6"/>
      <c r="R131" s="12"/>
      <c r="S131" s="12"/>
      <c r="T131" s="12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</row>
    <row r="132" spans="8:51" s="4" customFormat="1" ht="12.75">
      <c r="H132" s="6"/>
      <c r="I132" s="6"/>
      <c r="J132" s="6"/>
      <c r="K132" s="6"/>
      <c r="L132" s="6"/>
      <c r="M132" s="14"/>
      <c r="N132" s="6"/>
      <c r="O132" s="6"/>
      <c r="P132" s="6"/>
      <c r="Q132" s="6"/>
      <c r="R132" s="12"/>
      <c r="S132" s="12"/>
      <c r="T132" s="12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</row>
    <row r="133" spans="8:51" s="4" customFormat="1" ht="12.75">
      <c r="H133" s="6"/>
      <c r="I133" s="6"/>
      <c r="J133" s="6"/>
      <c r="K133" s="6"/>
      <c r="L133" s="6"/>
      <c r="M133" s="14"/>
      <c r="N133" s="6"/>
      <c r="O133" s="6"/>
      <c r="P133" s="6"/>
      <c r="Q133" s="6"/>
      <c r="R133" s="12"/>
      <c r="S133" s="12"/>
      <c r="T133" s="12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</row>
    <row r="134" spans="8:51" s="4" customFormat="1" ht="12.75">
      <c r="H134" s="6"/>
      <c r="I134" s="6"/>
      <c r="J134" s="6"/>
      <c r="K134" s="6"/>
      <c r="L134" s="6"/>
      <c r="M134" s="14"/>
      <c r="N134" s="6"/>
      <c r="O134" s="6"/>
      <c r="P134" s="6"/>
      <c r="Q134" s="6"/>
      <c r="R134" s="12"/>
      <c r="S134" s="12"/>
      <c r="T134" s="12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</row>
    <row r="135" spans="8:51" s="4" customFormat="1" ht="12.75">
      <c r="H135" s="6"/>
      <c r="I135" s="6"/>
      <c r="J135" s="6"/>
      <c r="K135" s="6"/>
      <c r="L135" s="6"/>
      <c r="M135" s="14"/>
      <c r="N135" s="6"/>
      <c r="O135" s="6"/>
      <c r="P135" s="6"/>
      <c r="Q135" s="6"/>
      <c r="R135" s="12"/>
      <c r="S135" s="12"/>
      <c r="T135" s="12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</row>
    <row r="136" spans="8:51" s="4" customFormat="1" ht="12.75">
      <c r="H136" s="6"/>
      <c r="I136" s="6"/>
      <c r="J136" s="6"/>
      <c r="K136" s="6"/>
      <c r="L136" s="6"/>
      <c r="M136" s="14"/>
      <c r="N136" s="6"/>
      <c r="O136" s="6"/>
      <c r="P136" s="6"/>
      <c r="Q136" s="6"/>
      <c r="R136" s="12"/>
      <c r="S136" s="12"/>
      <c r="T136" s="12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</row>
    <row r="137" spans="8:51" s="4" customFormat="1" ht="12.75">
      <c r="H137" s="6"/>
      <c r="I137" s="6"/>
      <c r="J137" s="6"/>
      <c r="K137" s="6"/>
      <c r="L137" s="6"/>
      <c r="M137" s="14"/>
      <c r="N137" s="6"/>
      <c r="O137" s="6"/>
      <c r="P137" s="6"/>
      <c r="Q137" s="6"/>
      <c r="R137" s="12"/>
      <c r="S137" s="12"/>
      <c r="T137" s="12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</row>
    <row r="138" spans="8:51" s="4" customFormat="1" ht="12.75">
      <c r="H138" s="6"/>
      <c r="I138" s="6"/>
      <c r="J138" s="6"/>
      <c r="K138" s="6"/>
      <c r="L138" s="6"/>
      <c r="M138" s="14"/>
      <c r="N138" s="6"/>
      <c r="O138" s="6"/>
      <c r="P138" s="6"/>
      <c r="Q138" s="6"/>
      <c r="R138" s="12"/>
      <c r="S138" s="12"/>
      <c r="T138" s="12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</row>
    <row r="139" spans="8:51" s="4" customFormat="1" ht="12.75">
      <c r="H139" s="6"/>
      <c r="I139" s="6"/>
      <c r="J139" s="6"/>
      <c r="K139" s="6"/>
      <c r="L139" s="6"/>
      <c r="M139" s="14"/>
      <c r="N139" s="6"/>
      <c r="O139" s="6"/>
      <c r="P139" s="6"/>
      <c r="Q139" s="6"/>
      <c r="R139" s="12"/>
      <c r="S139" s="12"/>
      <c r="T139" s="12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</row>
    <row r="140" spans="8:51" s="4" customFormat="1" ht="12.75">
      <c r="H140" s="6"/>
      <c r="I140" s="6"/>
      <c r="J140" s="6"/>
      <c r="K140" s="6"/>
      <c r="L140" s="6"/>
      <c r="M140" s="14"/>
      <c r="N140" s="6"/>
      <c r="O140" s="6"/>
      <c r="P140" s="6"/>
      <c r="Q140" s="6"/>
      <c r="R140" s="12"/>
      <c r="S140" s="12"/>
      <c r="T140" s="12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</row>
    <row r="141" spans="8:51" s="4" customFormat="1" ht="12.75">
      <c r="H141" s="6"/>
      <c r="I141" s="6"/>
      <c r="J141" s="6"/>
      <c r="K141" s="6"/>
      <c r="L141" s="6"/>
      <c r="M141" s="14"/>
      <c r="N141" s="6"/>
      <c r="O141" s="6"/>
      <c r="P141" s="6"/>
      <c r="Q141" s="6"/>
      <c r="R141" s="12"/>
      <c r="S141" s="12"/>
      <c r="T141" s="12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</row>
    <row r="142" spans="8:51" s="4" customFormat="1" ht="12.75">
      <c r="H142" s="6"/>
      <c r="I142" s="6"/>
      <c r="J142" s="6"/>
      <c r="K142" s="6"/>
      <c r="L142" s="6"/>
      <c r="M142" s="14"/>
      <c r="N142" s="6"/>
      <c r="O142" s="6"/>
      <c r="P142" s="6"/>
      <c r="Q142" s="6"/>
      <c r="R142" s="12"/>
      <c r="S142" s="12"/>
      <c r="T142" s="12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</row>
    <row r="143" spans="8:51" s="4" customFormat="1" ht="12.75">
      <c r="H143" s="6"/>
      <c r="I143" s="6"/>
      <c r="J143" s="6"/>
      <c r="K143" s="6"/>
      <c r="L143" s="6"/>
      <c r="M143" s="14"/>
      <c r="N143" s="6"/>
      <c r="O143" s="6"/>
      <c r="P143" s="6"/>
      <c r="Q143" s="6"/>
      <c r="R143" s="12"/>
      <c r="S143" s="12"/>
      <c r="T143" s="12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</row>
    <row r="144" spans="8:51" s="4" customFormat="1" ht="12.75">
      <c r="H144" s="6"/>
      <c r="I144" s="6"/>
      <c r="J144" s="6"/>
      <c r="K144" s="6"/>
      <c r="L144" s="6"/>
      <c r="M144" s="14"/>
      <c r="N144" s="6"/>
      <c r="O144" s="6"/>
      <c r="P144" s="6"/>
      <c r="Q144" s="6"/>
      <c r="R144" s="12"/>
      <c r="S144" s="12"/>
      <c r="T144" s="12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</row>
    <row r="145" spans="8:51" s="4" customFormat="1" ht="12.75">
      <c r="H145" s="6"/>
      <c r="I145" s="6"/>
      <c r="J145" s="6"/>
      <c r="K145" s="6"/>
      <c r="L145" s="6"/>
      <c r="M145" s="14"/>
      <c r="N145" s="6"/>
      <c r="O145" s="6"/>
      <c r="P145" s="6"/>
      <c r="Q145" s="6"/>
      <c r="R145" s="12"/>
      <c r="S145" s="12"/>
      <c r="T145" s="12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</row>
    <row r="146" spans="8:51" s="4" customFormat="1" ht="12.75">
      <c r="H146" s="6"/>
      <c r="I146" s="6"/>
      <c r="J146" s="6"/>
      <c r="K146" s="6"/>
      <c r="L146" s="6"/>
      <c r="M146" s="14"/>
      <c r="N146" s="6"/>
      <c r="O146" s="6"/>
      <c r="P146" s="6"/>
      <c r="Q146" s="6"/>
      <c r="R146" s="12"/>
      <c r="S146" s="12"/>
      <c r="T146" s="12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</row>
    <row r="147" spans="8:51" s="4" customFormat="1" ht="12.75">
      <c r="H147" s="6"/>
      <c r="I147" s="6"/>
      <c r="J147" s="6"/>
      <c r="K147" s="6"/>
      <c r="L147" s="6"/>
      <c r="M147" s="14"/>
      <c r="N147" s="6"/>
      <c r="O147" s="6"/>
      <c r="P147" s="6"/>
      <c r="Q147" s="6"/>
      <c r="R147" s="12"/>
      <c r="S147" s="12"/>
      <c r="T147" s="12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</row>
    <row r="148" spans="8:51" s="4" customFormat="1" ht="12.75">
      <c r="H148" s="6"/>
      <c r="I148" s="6"/>
      <c r="J148" s="6"/>
      <c r="K148" s="6"/>
      <c r="L148" s="6"/>
      <c r="M148" s="14"/>
      <c r="N148" s="6"/>
      <c r="O148" s="6"/>
      <c r="P148" s="6"/>
      <c r="Q148" s="6"/>
      <c r="R148" s="12"/>
      <c r="S148" s="12"/>
      <c r="T148" s="12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</row>
    <row r="149" spans="8:51" s="4" customFormat="1" ht="12.75">
      <c r="H149" s="6"/>
      <c r="I149" s="6"/>
      <c r="J149" s="6"/>
      <c r="K149" s="6"/>
      <c r="L149" s="6"/>
      <c r="M149" s="14"/>
      <c r="N149" s="6"/>
      <c r="O149" s="6"/>
      <c r="P149" s="6"/>
      <c r="Q149" s="6"/>
      <c r="R149" s="12"/>
      <c r="S149" s="12"/>
      <c r="T149" s="12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</row>
    <row r="150" spans="8:51" s="4" customFormat="1" ht="12.75">
      <c r="H150" s="6"/>
      <c r="I150" s="6"/>
      <c r="J150" s="6"/>
      <c r="K150" s="6"/>
      <c r="L150" s="6"/>
      <c r="M150" s="14"/>
      <c r="N150" s="6"/>
      <c r="O150" s="6"/>
      <c r="P150" s="6"/>
      <c r="Q150" s="6"/>
      <c r="R150" s="12"/>
      <c r="S150" s="12"/>
      <c r="T150" s="12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</row>
    <row r="151" spans="8:51" s="4" customFormat="1" ht="12.75">
      <c r="H151" s="6"/>
      <c r="I151" s="6"/>
      <c r="J151" s="6"/>
      <c r="K151" s="6"/>
      <c r="L151" s="6"/>
      <c r="M151" s="14"/>
      <c r="N151" s="6"/>
      <c r="O151" s="6"/>
      <c r="P151" s="6"/>
      <c r="Q151" s="6"/>
      <c r="R151" s="12"/>
      <c r="S151" s="12"/>
      <c r="T151" s="12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</row>
    <row r="152" spans="8:51" s="4" customFormat="1" ht="12.75">
      <c r="H152" s="6"/>
      <c r="I152" s="6"/>
      <c r="J152" s="6"/>
      <c r="K152" s="6"/>
      <c r="L152" s="6"/>
      <c r="M152" s="14"/>
      <c r="N152" s="6"/>
      <c r="O152" s="6"/>
      <c r="P152" s="6"/>
      <c r="Q152" s="6"/>
      <c r="R152" s="12"/>
      <c r="S152" s="12"/>
      <c r="T152" s="12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</row>
    <row r="153" spans="8:51" s="4" customFormat="1" ht="12.75">
      <c r="H153" s="6"/>
      <c r="I153" s="6"/>
      <c r="J153" s="6"/>
      <c r="K153" s="6"/>
      <c r="L153" s="6"/>
      <c r="M153" s="14"/>
      <c r="N153" s="6"/>
      <c r="O153" s="6"/>
      <c r="P153" s="6"/>
      <c r="Q153" s="6"/>
      <c r="R153" s="12"/>
      <c r="S153" s="12"/>
      <c r="T153" s="12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</row>
    <row r="154" spans="8:51" s="4" customFormat="1" ht="12.75">
      <c r="H154" s="6"/>
      <c r="I154" s="6"/>
      <c r="J154" s="6"/>
      <c r="K154" s="6"/>
      <c r="L154" s="6"/>
      <c r="M154" s="14"/>
      <c r="N154" s="6"/>
      <c r="O154" s="6"/>
      <c r="P154" s="6"/>
      <c r="Q154" s="6"/>
      <c r="R154" s="12"/>
      <c r="S154" s="12"/>
      <c r="T154" s="12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</row>
    <row r="155" spans="8:51" s="4" customFormat="1" ht="12.75">
      <c r="H155" s="6"/>
      <c r="I155" s="6"/>
      <c r="J155" s="6"/>
      <c r="K155" s="6"/>
      <c r="L155" s="6"/>
      <c r="M155" s="14"/>
      <c r="N155" s="6"/>
      <c r="O155" s="6"/>
      <c r="P155" s="6"/>
      <c r="Q155" s="6"/>
      <c r="R155" s="12"/>
      <c r="S155" s="12"/>
      <c r="T155" s="12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</row>
    <row r="156" spans="8:51" s="4" customFormat="1" ht="12.75">
      <c r="H156" s="6"/>
      <c r="I156" s="6"/>
      <c r="J156" s="6"/>
      <c r="K156" s="6"/>
      <c r="L156" s="6"/>
      <c r="M156" s="14"/>
      <c r="N156" s="6"/>
      <c r="O156" s="6"/>
      <c r="P156" s="6"/>
      <c r="Q156" s="6"/>
      <c r="R156" s="12"/>
      <c r="S156" s="12"/>
      <c r="T156" s="12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</row>
    <row r="157" spans="8:51" s="4" customFormat="1" ht="12.75">
      <c r="H157" s="6"/>
      <c r="I157" s="6"/>
      <c r="J157" s="6"/>
      <c r="K157" s="6"/>
      <c r="L157" s="6"/>
      <c r="M157" s="14"/>
      <c r="N157" s="6"/>
      <c r="O157" s="6"/>
      <c r="P157" s="6"/>
      <c r="Q157" s="6"/>
      <c r="R157" s="12"/>
      <c r="S157" s="12"/>
      <c r="T157" s="12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</row>
    <row r="158" spans="8:51" s="4" customFormat="1" ht="12.75">
      <c r="H158" s="6"/>
      <c r="I158" s="6"/>
      <c r="J158" s="6"/>
      <c r="K158" s="6"/>
      <c r="L158" s="6"/>
      <c r="M158" s="14"/>
      <c r="N158" s="6"/>
      <c r="O158" s="6"/>
      <c r="P158" s="6"/>
      <c r="Q158" s="6"/>
      <c r="R158" s="12"/>
      <c r="S158" s="12"/>
      <c r="T158" s="12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</row>
    <row r="159" spans="8:51" s="4" customFormat="1" ht="12.75">
      <c r="H159" s="6"/>
      <c r="I159" s="6"/>
      <c r="J159" s="6"/>
      <c r="K159" s="6"/>
      <c r="L159" s="6"/>
      <c r="M159" s="14"/>
      <c r="N159" s="6"/>
      <c r="O159" s="6"/>
      <c r="P159" s="6"/>
      <c r="Q159" s="6"/>
      <c r="R159" s="12"/>
      <c r="S159" s="12"/>
      <c r="T159" s="12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</row>
    <row r="160" spans="8:51" s="4" customFormat="1" ht="12.75">
      <c r="H160" s="6"/>
      <c r="I160" s="6"/>
      <c r="J160" s="6"/>
      <c r="K160" s="6"/>
      <c r="L160" s="6"/>
      <c r="M160" s="14"/>
      <c r="N160" s="6"/>
      <c r="O160" s="6"/>
      <c r="P160" s="6"/>
      <c r="Q160" s="6"/>
      <c r="R160" s="12"/>
      <c r="S160" s="12"/>
      <c r="T160" s="12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</row>
    <row r="161" spans="8:51" s="4" customFormat="1" ht="12.75">
      <c r="H161" s="6"/>
      <c r="I161" s="6"/>
      <c r="J161" s="6"/>
      <c r="K161" s="6"/>
      <c r="L161" s="6"/>
      <c r="M161" s="14"/>
      <c r="N161" s="6"/>
      <c r="O161" s="6"/>
      <c r="P161" s="6"/>
      <c r="Q161" s="6"/>
      <c r="R161" s="12"/>
      <c r="S161" s="12"/>
      <c r="T161" s="12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</row>
    <row r="162" spans="8:51" s="4" customFormat="1" ht="12.75">
      <c r="H162" s="6"/>
      <c r="I162" s="6"/>
      <c r="J162" s="6"/>
      <c r="K162" s="6"/>
      <c r="L162" s="6"/>
      <c r="M162" s="14"/>
      <c r="N162" s="6"/>
      <c r="O162" s="6"/>
      <c r="P162" s="6"/>
      <c r="Q162" s="6"/>
      <c r="R162" s="12"/>
      <c r="S162" s="12"/>
      <c r="T162" s="12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</row>
    <row r="163" spans="8:51" s="4" customFormat="1" ht="12.75">
      <c r="H163" s="6"/>
      <c r="I163" s="6"/>
      <c r="J163" s="6"/>
      <c r="K163" s="6"/>
      <c r="L163" s="6"/>
      <c r="M163" s="14"/>
      <c r="N163" s="6"/>
      <c r="O163" s="6"/>
      <c r="P163" s="6"/>
      <c r="Q163" s="6"/>
      <c r="R163" s="12"/>
      <c r="S163" s="12"/>
      <c r="T163" s="12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</row>
    <row r="164" spans="8:51" s="4" customFormat="1" ht="12.75">
      <c r="H164" s="6"/>
      <c r="I164" s="6"/>
      <c r="J164" s="6"/>
      <c r="K164" s="6"/>
      <c r="L164" s="6"/>
      <c r="M164" s="14"/>
      <c r="N164" s="6"/>
      <c r="O164" s="6"/>
      <c r="P164" s="6"/>
      <c r="Q164" s="6"/>
      <c r="R164" s="12"/>
      <c r="S164" s="12"/>
      <c r="T164" s="12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</row>
    <row r="165" spans="8:51" s="4" customFormat="1" ht="12.75">
      <c r="H165" s="6"/>
      <c r="I165" s="6"/>
      <c r="J165" s="6"/>
      <c r="K165" s="6"/>
      <c r="L165" s="6"/>
      <c r="M165" s="14"/>
      <c r="N165" s="6"/>
      <c r="O165" s="6"/>
      <c r="P165" s="6"/>
      <c r="Q165" s="6"/>
      <c r="R165" s="12"/>
      <c r="S165" s="12"/>
      <c r="T165" s="12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</row>
    <row r="166" spans="8:51" s="4" customFormat="1" ht="12.75">
      <c r="H166" s="6"/>
      <c r="I166" s="6"/>
      <c r="J166" s="6"/>
      <c r="K166" s="6"/>
      <c r="L166" s="6"/>
      <c r="M166" s="14"/>
      <c r="N166" s="6"/>
      <c r="O166" s="6"/>
      <c r="P166" s="6"/>
      <c r="Q166" s="6"/>
      <c r="R166" s="12"/>
      <c r="S166" s="12"/>
      <c r="T166" s="12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</row>
    <row r="167" spans="8:51" s="4" customFormat="1" ht="12.75">
      <c r="H167" s="6"/>
      <c r="I167" s="6"/>
      <c r="J167" s="6"/>
      <c r="K167" s="6"/>
      <c r="L167" s="6"/>
      <c r="M167" s="14"/>
      <c r="N167" s="6"/>
      <c r="O167" s="6"/>
      <c r="P167" s="6"/>
      <c r="Q167" s="6"/>
      <c r="R167" s="12"/>
      <c r="S167" s="12"/>
      <c r="T167" s="12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</row>
    <row r="168" spans="8:51" s="4" customFormat="1" ht="12.75">
      <c r="H168" s="6"/>
      <c r="I168" s="6"/>
      <c r="J168" s="6"/>
      <c r="K168" s="6"/>
      <c r="L168" s="6"/>
      <c r="M168" s="14"/>
      <c r="N168" s="6"/>
      <c r="O168" s="6"/>
      <c r="P168" s="6"/>
      <c r="Q168" s="6"/>
      <c r="R168" s="12"/>
      <c r="S168" s="12"/>
      <c r="T168" s="12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</row>
    <row r="169" spans="8:51" s="4" customFormat="1" ht="12.75">
      <c r="H169" s="6"/>
      <c r="I169" s="6"/>
      <c r="J169" s="6"/>
      <c r="K169" s="6"/>
      <c r="L169" s="6"/>
      <c r="M169" s="14"/>
      <c r="N169" s="6"/>
      <c r="O169" s="6"/>
      <c r="P169" s="6"/>
      <c r="Q169" s="6"/>
      <c r="R169" s="12"/>
      <c r="S169" s="12"/>
      <c r="T169" s="12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</row>
    <row r="170" spans="8:51" s="4" customFormat="1" ht="12.75">
      <c r="H170" s="6"/>
      <c r="I170" s="6"/>
      <c r="J170" s="6"/>
      <c r="K170" s="6"/>
      <c r="L170" s="6"/>
      <c r="M170" s="14"/>
      <c r="N170" s="6"/>
      <c r="O170" s="6"/>
      <c r="P170" s="6"/>
      <c r="Q170" s="6"/>
      <c r="R170" s="12"/>
      <c r="S170" s="12"/>
      <c r="T170" s="12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</row>
    <row r="171" spans="8:51" s="4" customFormat="1" ht="12.75">
      <c r="H171" s="6"/>
      <c r="I171" s="6"/>
      <c r="J171" s="6"/>
      <c r="K171" s="6"/>
      <c r="L171" s="6"/>
      <c r="M171" s="14"/>
      <c r="N171" s="6"/>
      <c r="O171" s="6"/>
      <c r="P171" s="6"/>
      <c r="Q171" s="6"/>
      <c r="R171" s="12"/>
      <c r="S171" s="12"/>
      <c r="T171" s="12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</row>
    <row r="172" spans="8:51" s="4" customFormat="1" ht="12.75">
      <c r="H172" s="6"/>
      <c r="I172" s="6"/>
      <c r="J172" s="6"/>
      <c r="K172" s="6"/>
      <c r="L172" s="6"/>
      <c r="M172" s="14"/>
      <c r="N172" s="6"/>
      <c r="O172" s="6"/>
      <c r="P172" s="6"/>
      <c r="Q172" s="6"/>
      <c r="R172" s="12"/>
      <c r="S172" s="12"/>
      <c r="T172" s="12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</row>
    <row r="173" spans="8:51" s="4" customFormat="1" ht="12.75">
      <c r="H173" s="6"/>
      <c r="I173" s="6"/>
      <c r="J173" s="6"/>
      <c r="K173" s="6"/>
      <c r="L173" s="6"/>
      <c r="M173" s="14"/>
      <c r="N173" s="6"/>
      <c r="O173" s="6"/>
      <c r="P173" s="6"/>
      <c r="Q173" s="6"/>
      <c r="R173" s="12"/>
      <c r="S173" s="12"/>
      <c r="T173" s="12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</row>
    <row r="174" spans="8:51" s="4" customFormat="1" ht="12.75">
      <c r="H174" s="6"/>
      <c r="I174" s="6"/>
      <c r="J174" s="6"/>
      <c r="K174" s="6"/>
      <c r="L174" s="6"/>
      <c r="M174" s="14"/>
      <c r="N174" s="6"/>
      <c r="O174" s="6"/>
      <c r="P174" s="6"/>
      <c r="Q174" s="6"/>
      <c r="R174" s="12"/>
      <c r="S174" s="12"/>
      <c r="T174" s="12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</row>
    <row r="175" spans="8:51" s="4" customFormat="1" ht="12.75">
      <c r="H175" s="6"/>
      <c r="I175" s="6"/>
      <c r="J175" s="6"/>
      <c r="K175" s="6"/>
      <c r="L175" s="6"/>
      <c r="M175" s="14"/>
      <c r="N175" s="6"/>
      <c r="O175" s="6"/>
      <c r="P175" s="6"/>
      <c r="Q175" s="6"/>
      <c r="R175" s="12"/>
      <c r="S175" s="12"/>
      <c r="T175" s="12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</row>
    <row r="176" spans="8:51" s="4" customFormat="1" ht="12.75">
      <c r="H176" s="6"/>
      <c r="I176" s="6"/>
      <c r="J176" s="6"/>
      <c r="K176" s="6"/>
      <c r="L176" s="6"/>
      <c r="M176" s="14"/>
      <c r="N176" s="6"/>
      <c r="O176" s="6"/>
      <c r="P176" s="6"/>
      <c r="Q176" s="6"/>
      <c r="R176" s="12"/>
      <c r="S176" s="12"/>
      <c r="T176" s="12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</row>
    <row r="177" spans="8:51" s="4" customFormat="1" ht="12.75">
      <c r="H177" s="6"/>
      <c r="I177" s="6"/>
      <c r="J177" s="6"/>
      <c r="K177" s="6"/>
      <c r="L177" s="6"/>
      <c r="M177" s="14"/>
      <c r="N177" s="6"/>
      <c r="O177" s="6"/>
      <c r="P177" s="6"/>
      <c r="Q177" s="6"/>
      <c r="R177" s="12"/>
      <c r="S177" s="12"/>
      <c r="T177" s="12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</row>
    <row r="178" spans="8:51" s="4" customFormat="1" ht="12.75">
      <c r="H178" s="6"/>
      <c r="I178" s="6"/>
      <c r="J178" s="6"/>
      <c r="K178" s="6"/>
      <c r="L178" s="6"/>
      <c r="M178" s="14"/>
      <c r="N178" s="6"/>
      <c r="O178" s="6"/>
      <c r="P178" s="6"/>
      <c r="Q178" s="6"/>
      <c r="R178" s="12"/>
      <c r="S178" s="12"/>
      <c r="T178" s="12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</row>
    <row r="179" spans="8:51" s="4" customFormat="1" ht="12.75">
      <c r="H179" s="6"/>
      <c r="I179" s="6"/>
      <c r="J179" s="6"/>
      <c r="K179" s="6"/>
      <c r="L179" s="6"/>
      <c r="M179" s="14"/>
      <c r="N179" s="6"/>
      <c r="O179" s="6"/>
      <c r="P179" s="6"/>
      <c r="Q179" s="6"/>
      <c r="R179" s="12"/>
      <c r="S179" s="12"/>
      <c r="T179" s="12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</row>
    <row r="180" spans="8:51" s="4" customFormat="1" ht="12.75">
      <c r="H180" s="6"/>
      <c r="I180" s="6"/>
      <c r="J180" s="6"/>
      <c r="K180" s="6"/>
      <c r="L180" s="6"/>
      <c r="M180" s="14"/>
      <c r="N180" s="6"/>
      <c r="O180" s="6"/>
      <c r="P180" s="6"/>
      <c r="Q180" s="6"/>
      <c r="R180" s="12"/>
      <c r="S180" s="12"/>
      <c r="T180" s="12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</row>
    <row r="181" spans="8:51" s="4" customFormat="1" ht="12.75">
      <c r="H181" s="6"/>
      <c r="I181" s="6"/>
      <c r="J181" s="6"/>
      <c r="K181" s="6"/>
      <c r="L181" s="6"/>
      <c r="M181" s="14"/>
      <c r="N181" s="6"/>
      <c r="O181" s="6"/>
      <c r="P181" s="6"/>
      <c r="Q181" s="6"/>
      <c r="R181" s="12"/>
      <c r="S181" s="12"/>
      <c r="T181" s="12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</row>
    <row r="182" spans="8:51" s="4" customFormat="1" ht="12.75">
      <c r="H182" s="6"/>
      <c r="I182" s="6"/>
      <c r="J182" s="6"/>
      <c r="K182" s="6"/>
      <c r="L182" s="6"/>
      <c r="M182" s="14"/>
      <c r="N182" s="6"/>
      <c r="O182" s="6"/>
      <c r="P182" s="6"/>
      <c r="Q182" s="6"/>
      <c r="R182" s="12"/>
      <c r="S182" s="12"/>
      <c r="T182" s="12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</row>
    <row r="183" spans="8:51" s="4" customFormat="1" ht="12.75">
      <c r="H183" s="6"/>
      <c r="I183" s="6"/>
      <c r="J183" s="6"/>
      <c r="K183" s="6"/>
      <c r="L183" s="6"/>
      <c r="M183" s="14"/>
      <c r="N183" s="6"/>
      <c r="O183" s="6"/>
      <c r="P183" s="6"/>
      <c r="Q183" s="6"/>
      <c r="R183" s="12"/>
      <c r="S183" s="12"/>
      <c r="T183" s="12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</row>
    <row r="184" spans="8:51" s="4" customFormat="1" ht="12.75">
      <c r="H184" s="6"/>
      <c r="I184" s="6"/>
      <c r="J184" s="6"/>
      <c r="K184" s="6"/>
      <c r="L184" s="6"/>
      <c r="M184" s="14"/>
      <c r="N184" s="6"/>
      <c r="O184" s="6"/>
      <c r="P184" s="6"/>
      <c r="Q184" s="6"/>
      <c r="R184" s="12"/>
      <c r="S184" s="12"/>
      <c r="T184" s="12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</row>
    <row r="185" spans="8:51" s="4" customFormat="1" ht="12.75">
      <c r="H185" s="6"/>
      <c r="I185" s="6"/>
      <c r="J185" s="6"/>
      <c r="K185" s="6"/>
      <c r="L185" s="6"/>
      <c r="M185" s="14"/>
      <c r="N185" s="6"/>
      <c r="O185" s="6"/>
      <c r="P185" s="6"/>
      <c r="Q185" s="6"/>
      <c r="R185" s="12"/>
      <c r="S185" s="12"/>
      <c r="T185" s="12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</row>
    <row r="186" spans="8:51" s="4" customFormat="1" ht="12.75">
      <c r="H186" s="6"/>
      <c r="I186" s="6"/>
      <c r="J186" s="6"/>
      <c r="K186" s="6"/>
      <c r="L186" s="6"/>
      <c r="M186" s="14"/>
      <c r="N186" s="6"/>
      <c r="O186" s="6"/>
      <c r="P186" s="6"/>
      <c r="Q186" s="6"/>
      <c r="R186" s="12"/>
      <c r="S186" s="12"/>
      <c r="T186" s="12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</row>
    <row r="187" spans="8:51" s="4" customFormat="1" ht="12.75">
      <c r="H187" s="6"/>
      <c r="I187" s="6"/>
      <c r="J187" s="6"/>
      <c r="K187" s="6"/>
      <c r="L187" s="6"/>
      <c r="M187" s="14"/>
      <c r="N187" s="6"/>
      <c r="O187" s="6"/>
      <c r="P187" s="6"/>
      <c r="Q187" s="6"/>
      <c r="R187" s="12"/>
      <c r="S187" s="12"/>
      <c r="T187" s="12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</row>
    <row r="188" spans="8:51" s="4" customFormat="1" ht="12.75">
      <c r="H188" s="6"/>
      <c r="I188" s="6"/>
      <c r="J188" s="6"/>
      <c r="K188" s="6"/>
      <c r="L188" s="6"/>
      <c r="M188" s="14"/>
      <c r="N188" s="6"/>
      <c r="O188" s="6"/>
      <c r="P188" s="6"/>
      <c r="Q188" s="6"/>
      <c r="R188" s="12"/>
      <c r="S188" s="12"/>
      <c r="T188" s="12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</row>
    <row r="189" spans="8:51" s="4" customFormat="1" ht="12.75">
      <c r="H189" s="6"/>
      <c r="I189" s="6"/>
      <c r="J189" s="6"/>
      <c r="K189" s="6"/>
      <c r="L189" s="6"/>
      <c r="M189" s="14"/>
      <c r="N189" s="6"/>
      <c r="O189" s="6"/>
      <c r="P189" s="6"/>
      <c r="Q189" s="6"/>
      <c r="R189" s="12"/>
      <c r="S189" s="12"/>
      <c r="T189" s="12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</row>
    <row r="190" spans="8:51" s="4" customFormat="1" ht="12.75">
      <c r="H190" s="6"/>
      <c r="I190" s="6"/>
      <c r="J190" s="6"/>
      <c r="K190" s="6"/>
      <c r="L190" s="6"/>
      <c r="M190" s="14"/>
      <c r="N190" s="6"/>
      <c r="O190" s="6"/>
      <c r="P190" s="6"/>
      <c r="Q190" s="6"/>
      <c r="R190" s="12"/>
      <c r="S190" s="12"/>
      <c r="T190" s="12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</row>
    <row r="191" spans="8:51" s="4" customFormat="1" ht="12.75">
      <c r="H191" s="6"/>
      <c r="I191" s="6"/>
      <c r="J191" s="6"/>
      <c r="K191" s="6"/>
      <c r="L191" s="6"/>
      <c r="M191" s="14"/>
      <c r="N191" s="6"/>
      <c r="O191" s="6"/>
      <c r="P191" s="6"/>
      <c r="Q191" s="6"/>
      <c r="R191" s="12"/>
      <c r="S191" s="12"/>
      <c r="T191" s="12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</row>
    <row r="192" spans="8:51" s="4" customFormat="1" ht="12.75">
      <c r="H192" s="6"/>
      <c r="I192" s="6"/>
      <c r="J192" s="6"/>
      <c r="K192" s="6"/>
      <c r="L192" s="6"/>
      <c r="M192" s="14"/>
      <c r="N192" s="6"/>
      <c r="O192" s="6"/>
      <c r="P192" s="6"/>
      <c r="Q192" s="6"/>
      <c r="R192" s="12"/>
      <c r="S192" s="12"/>
      <c r="T192" s="12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</row>
    <row r="193" spans="8:51" s="4" customFormat="1" ht="12.75">
      <c r="H193" s="6"/>
      <c r="I193" s="6"/>
      <c r="J193" s="6"/>
      <c r="K193" s="6"/>
      <c r="L193" s="6"/>
      <c r="M193" s="14"/>
      <c r="N193" s="6"/>
      <c r="O193" s="6"/>
      <c r="P193" s="6"/>
      <c r="Q193" s="6"/>
      <c r="R193" s="12"/>
      <c r="S193" s="12"/>
      <c r="T193" s="12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</row>
    <row r="194" spans="8:51" s="4" customFormat="1" ht="12.75">
      <c r="H194" s="6"/>
      <c r="I194" s="6"/>
      <c r="J194" s="6"/>
      <c r="K194" s="6"/>
      <c r="L194" s="6"/>
      <c r="M194" s="14"/>
      <c r="N194" s="6"/>
      <c r="O194" s="6"/>
      <c r="P194" s="6"/>
      <c r="Q194" s="6"/>
      <c r="R194" s="12"/>
      <c r="S194" s="12"/>
      <c r="T194" s="12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</row>
    <row r="195" spans="8:51" s="4" customFormat="1" ht="12.75">
      <c r="H195" s="6"/>
      <c r="I195" s="6"/>
      <c r="J195" s="6"/>
      <c r="K195" s="6"/>
      <c r="L195" s="6"/>
      <c r="M195" s="14"/>
      <c r="N195" s="6"/>
      <c r="O195" s="6"/>
      <c r="P195" s="6"/>
      <c r="Q195" s="6"/>
      <c r="R195" s="12"/>
      <c r="S195" s="12"/>
      <c r="T195" s="12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</row>
    <row r="196" spans="8:51" s="4" customFormat="1" ht="12.75">
      <c r="H196" s="6"/>
      <c r="I196" s="6"/>
      <c r="J196" s="6"/>
      <c r="K196" s="6"/>
      <c r="L196" s="6"/>
      <c r="M196" s="14"/>
      <c r="N196" s="6"/>
      <c r="O196" s="6"/>
      <c r="P196" s="6"/>
      <c r="Q196" s="6"/>
      <c r="R196" s="12"/>
      <c r="S196" s="12"/>
      <c r="T196" s="12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</row>
    <row r="197" spans="8:51" s="4" customFormat="1" ht="12.75">
      <c r="H197" s="6"/>
      <c r="I197" s="6"/>
      <c r="J197" s="6"/>
      <c r="K197" s="6"/>
      <c r="L197" s="6"/>
      <c r="M197" s="14"/>
      <c r="N197" s="6"/>
      <c r="O197" s="6"/>
      <c r="P197" s="6"/>
      <c r="Q197" s="6"/>
      <c r="R197" s="12"/>
      <c r="S197" s="12"/>
      <c r="T197" s="12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</row>
    <row r="198" spans="8:51" s="4" customFormat="1" ht="12.75">
      <c r="H198" s="6"/>
      <c r="I198" s="6"/>
      <c r="J198" s="6"/>
      <c r="K198" s="6"/>
      <c r="L198" s="6"/>
      <c r="M198" s="14"/>
      <c r="N198" s="6"/>
      <c r="O198" s="6"/>
      <c r="P198" s="6"/>
      <c r="Q198" s="6"/>
      <c r="R198" s="12"/>
      <c r="S198" s="12"/>
      <c r="T198" s="12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</row>
    <row r="199" spans="8:51" s="4" customFormat="1" ht="12.75">
      <c r="H199" s="6"/>
      <c r="I199" s="6"/>
      <c r="J199" s="6"/>
      <c r="K199" s="6"/>
      <c r="L199" s="6"/>
      <c r="M199" s="14"/>
      <c r="N199" s="6"/>
      <c r="O199" s="6"/>
      <c r="P199" s="6"/>
      <c r="Q199" s="6"/>
      <c r="R199" s="12"/>
      <c r="S199" s="12"/>
      <c r="T199" s="12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</row>
    <row r="200" spans="8:51" s="4" customFormat="1" ht="12.75">
      <c r="H200" s="6"/>
      <c r="I200" s="6"/>
      <c r="J200" s="6"/>
      <c r="K200" s="6"/>
      <c r="L200" s="6"/>
      <c r="M200" s="14"/>
      <c r="N200" s="6"/>
      <c r="O200" s="6"/>
      <c r="P200" s="6"/>
      <c r="Q200" s="6"/>
      <c r="R200" s="12"/>
      <c r="S200" s="12"/>
      <c r="T200" s="12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</row>
    <row r="201" spans="8:51" s="4" customFormat="1" ht="12.75">
      <c r="H201" s="6"/>
      <c r="I201" s="6"/>
      <c r="J201" s="6"/>
      <c r="K201" s="6"/>
      <c r="L201" s="6"/>
      <c r="M201" s="14"/>
      <c r="N201" s="6"/>
      <c r="O201" s="6"/>
      <c r="P201" s="6"/>
      <c r="Q201" s="6"/>
      <c r="R201" s="12"/>
      <c r="S201" s="12"/>
      <c r="T201" s="12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</row>
    <row r="202" spans="8:51" s="4" customFormat="1" ht="12.75">
      <c r="H202" s="6"/>
      <c r="I202" s="6"/>
      <c r="J202" s="6"/>
      <c r="K202" s="6"/>
      <c r="L202" s="6"/>
      <c r="M202" s="14"/>
      <c r="N202" s="6"/>
      <c r="O202" s="6"/>
      <c r="P202" s="6"/>
      <c r="Q202" s="6"/>
      <c r="R202" s="12"/>
      <c r="S202" s="12"/>
      <c r="T202" s="12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</row>
    <row r="203" spans="8:51" s="4" customFormat="1" ht="12.75">
      <c r="H203" s="6"/>
      <c r="I203" s="6"/>
      <c r="J203" s="6"/>
      <c r="K203" s="6"/>
      <c r="L203" s="6"/>
      <c r="M203" s="14"/>
      <c r="N203" s="6"/>
      <c r="O203" s="6"/>
      <c r="P203" s="6"/>
      <c r="Q203" s="6"/>
      <c r="R203" s="12"/>
      <c r="S203" s="12"/>
      <c r="T203" s="12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</row>
    <row r="204" spans="8:51" s="4" customFormat="1" ht="12.75">
      <c r="H204" s="6"/>
      <c r="I204" s="6"/>
      <c r="J204" s="6"/>
      <c r="K204" s="6"/>
      <c r="L204" s="6"/>
      <c r="M204" s="14"/>
      <c r="N204" s="6"/>
      <c r="O204" s="6"/>
      <c r="P204" s="6"/>
      <c r="Q204" s="6"/>
      <c r="R204" s="12"/>
      <c r="S204" s="12"/>
      <c r="T204" s="12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</row>
    <row r="205" spans="8:51" s="4" customFormat="1" ht="12.75">
      <c r="H205" s="6"/>
      <c r="I205" s="6"/>
      <c r="J205" s="6"/>
      <c r="K205" s="6"/>
      <c r="L205" s="6"/>
      <c r="M205" s="14"/>
      <c r="N205" s="6"/>
      <c r="O205" s="6"/>
      <c r="P205" s="6"/>
      <c r="Q205" s="6"/>
      <c r="R205" s="12"/>
      <c r="S205" s="12"/>
      <c r="T205" s="12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</row>
    <row r="206" spans="8:51" s="4" customFormat="1" ht="12.75">
      <c r="H206" s="6"/>
      <c r="I206" s="6"/>
      <c r="J206" s="6"/>
      <c r="K206" s="6"/>
      <c r="L206" s="6"/>
      <c r="M206" s="14"/>
      <c r="N206" s="6"/>
      <c r="O206" s="6"/>
      <c r="P206" s="6"/>
      <c r="Q206" s="6"/>
      <c r="R206" s="12"/>
      <c r="S206" s="12"/>
      <c r="T206" s="12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</row>
    <row r="207" spans="8:51" s="4" customFormat="1" ht="12.75">
      <c r="H207" s="6"/>
      <c r="I207" s="6"/>
      <c r="J207" s="6"/>
      <c r="K207" s="6"/>
      <c r="L207" s="6"/>
      <c r="M207" s="14"/>
      <c r="N207" s="6"/>
      <c r="O207" s="6"/>
      <c r="P207" s="6"/>
      <c r="Q207" s="6"/>
      <c r="R207" s="12"/>
      <c r="S207" s="12"/>
      <c r="T207" s="12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</row>
    <row r="208" spans="8:51" s="4" customFormat="1" ht="12.75">
      <c r="H208" s="6"/>
      <c r="I208" s="6"/>
      <c r="J208" s="6"/>
      <c r="K208" s="6"/>
      <c r="L208" s="6"/>
      <c r="M208" s="14"/>
      <c r="N208" s="6"/>
      <c r="O208" s="6"/>
      <c r="P208" s="6"/>
      <c r="Q208" s="6"/>
      <c r="R208" s="12"/>
      <c r="S208" s="12"/>
      <c r="T208" s="12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</row>
    <row r="209" spans="8:51" s="4" customFormat="1" ht="12.75">
      <c r="H209" s="6"/>
      <c r="I209" s="6"/>
      <c r="J209" s="6"/>
      <c r="K209" s="6"/>
      <c r="L209" s="6"/>
      <c r="M209" s="14"/>
      <c r="N209" s="6"/>
      <c r="O209" s="6"/>
      <c r="P209" s="6"/>
      <c r="Q209" s="6"/>
      <c r="R209" s="12"/>
      <c r="S209" s="12"/>
      <c r="T209" s="12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</row>
    <row r="210" spans="8:51" s="4" customFormat="1" ht="12.75">
      <c r="H210" s="6"/>
      <c r="I210" s="6"/>
      <c r="J210" s="6"/>
      <c r="K210" s="6"/>
      <c r="L210" s="6"/>
      <c r="M210" s="14"/>
      <c r="N210" s="6"/>
      <c r="O210" s="6"/>
      <c r="P210" s="6"/>
      <c r="Q210" s="6"/>
      <c r="R210" s="12"/>
      <c r="S210" s="12"/>
      <c r="T210" s="12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</row>
    <row r="211" spans="8:51" s="4" customFormat="1" ht="12.75">
      <c r="H211" s="6"/>
      <c r="I211" s="6"/>
      <c r="J211" s="6"/>
      <c r="K211" s="6"/>
      <c r="L211" s="6"/>
      <c r="M211" s="14"/>
      <c r="N211" s="6"/>
      <c r="O211" s="6"/>
      <c r="P211" s="6"/>
      <c r="Q211" s="6"/>
      <c r="R211" s="12"/>
      <c r="S211" s="12"/>
      <c r="T211" s="12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</row>
    <row r="212" spans="8:51" s="4" customFormat="1" ht="12.75">
      <c r="H212" s="6"/>
      <c r="I212" s="6"/>
      <c r="J212" s="6"/>
      <c r="K212" s="6"/>
      <c r="L212" s="6"/>
      <c r="M212" s="14"/>
      <c r="N212" s="6"/>
      <c r="O212" s="6"/>
      <c r="P212" s="6"/>
      <c r="Q212" s="6"/>
      <c r="R212" s="12"/>
      <c r="S212" s="12"/>
      <c r="T212" s="12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</row>
    <row r="213" spans="8:51" s="4" customFormat="1" ht="12.75">
      <c r="H213" s="6"/>
      <c r="I213" s="6"/>
      <c r="J213" s="6"/>
      <c r="K213" s="6"/>
      <c r="L213" s="6"/>
      <c r="M213" s="14"/>
      <c r="N213" s="6"/>
      <c r="O213" s="6"/>
      <c r="P213" s="6"/>
      <c r="Q213" s="6"/>
      <c r="R213" s="12"/>
      <c r="S213" s="12"/>
      <c r="T213" s="12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</row>
    <row r="214" spans="8:51" s="4" customFormat="1" ht="12.75">
      <c r="H214" s="6"/>
      <c r="I214" s="6"/>
      <c r="J214" s="6"/>
      <c r="K214" s="6"/>
      <c r="L214" s="6"/>
      <c r="M214" s="14"/>
      <c r="N214" s="6"/>
      <c r="O214" s="6"/>
      <c r="P214" s="6"/>
      <c r="Q214" s="6"/>
      <c r="R214" s="12"/>
      <c r="S214" s="12"/>
      <c r="T214" s="12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</row>
    <row r="215" spans="8:51" s="4" customFormat="1" ht="12.75">
      <c r="H215" s="6"/>
      <c r="I215" s="6"/>
      <c r="J215" s="6"/>
      <c r="K215" s="6"/>
      <c r="L215" s="6"/>
      <c r="M215" s="14"/>
      <c r="N215" s="6"/>
      <c r="O215" s="6"/>
      <c r="P215" s="6"/>
      <c r="Q215" s="6"/>
      <c r="R215" s="12"/>
      <c r="S215" s="12"/>
      <c r="T215" s="12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</row>
    <row r="216" spans="8:51" s="4" customFormat="1" ht="12.75">
      <c r="H216" s="6"/>
      <c r="I216" s="6"/>
      <c r="J216" s="6"/>
      <c r="K216" s="6"/>
      <c r="L216" s="6"/>
      <c r="M216" s="14"/>
      <c r="N216" s="6"/>
      <c r="O216" s="6"/>
      <c r="P216" s="6"/>
      <c r="Q216" s="6"/>
      <c r="R216" s="12"/>
      <c r="S216" s="12"/>
      <c r="T216" s="12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</row>
    <row r="217" spans="8:51" s="4" customFormat="1" ht="12.75">
      <c r="H217" s="6"/>
      <c r="I217" s="6"/>
      <c r="J217" s="6"/>
      <c r="K217" s="6"/>
      <c r="L217" s="6"/>
      <c r="M217" s="14"/>
      <c r="N217" s="6"/>
      <c r="O217" s="6"/>
      <c r="P217" s="6"/>
      <c r="Q217" s="6"/>
      <c r="R217" s="12"/>
      <c r="S217" s="12"/>
      <c r="T217" s="12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</row>
    <row r="218" spans="8:51" s="4" customFormat="1" ht="12.75">
      <c r="H218" s="6"/>
      <c r="I218" s="6"/>
      <c r="J218" s="6"/>
      <c r="K218" s="6"/>
      <c r="L218" s="6"/>
      <c r="M218" s="14"/>
      <c r="N218" s="6"/>
      <c r="O218" s="6"/>
      <c r="P218" s="6"/>
      <c r="Q218" s="6"/>
      <c r="R218" s="12"/>
      <c r="S218" s="12"/>
      <c r="T218" s="12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</row>
    <row r="219" spans="8:51" s="4" customFormat="1" ht="12.75">
      <c r="H219" s="6"/>
      <c r="I219" s="6"/>
      <c r="J219" s="6"/>
      <c r="K219" s="6"/>
      <c r="L219" s="6"/>
      <c r="M219" s="14"/>
      <c r="N219" s="6"/>
      <c r="O219" s="6"/>
      <c r="P219" s="6"/>
      <c r="Q219" s="6"/>
      <c r="R219" s="12"/>
      <c r="S219" s="12"/>
      <c r="T219" s="12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</row>
    <row r="220" spans="8:51" s="4" customFormat="1" ht="12.75">
      <c r="H220" s="6"/>
      <c r="I220" s="6"/>
      <c r="J220" s="6"/>
      <c r="K220" s="6"/>
      <c r="L220" s="6"/>
      <c r="M220" s="14"/>
      <c r="N220" s="6"/>
      <c r="O220" s="6"/>
      <c r="P220" s="6"/>
      <c r="Q220" s="6"/>
      <c r="R220" s="12"/>
      <c r="S220" s="12"/>
      <c r="T220" s="12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</row>
    <row r="221" spans="8:51" s="4" customFormat="1" ht="12.75">
      <c r="H221" s="6"/>
      <c r="I221" s="6"/>
      <c r="J221" s="6"/>
      <c r="K221" s="6"/>
      <c r="L221" s="6"/>
      <c r="M221" s="14"/>
      <c r="N221" s="6"/>
      <c r="O221" s="6"/>
      <c r="P221" s="6"/>
      <c r="Q221" s="6"/>
      <c r="R221" s="12"/>
      <c r="S221" s="12"/>
      <c r="T221" s="12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</row>
    <row r="222" spans="8:51" s="4" customFormat="1" ht="12.75">
      <c r="H222" s="6"/>
      <c r="I222" s="6"/>
      <c r="J222" s="6"/>
      <c r="K222" s="6"/>
      <c r="L222" s="6"/>
      <c r="M222" s="14"/>
      <c r="N222" s="6"/>
      <c r="O222" s="6"/>
      <c r="P222" s="6"/>
      <c r="Q222" s="6"/>
      <c r="R222" s="12"/>
      <c r="S222" s="12"/>
      <c r="T222" s="12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</row>
    <row r="223" spans="8:51" s="4" customFormat="1" ht="12.75">
      <c r="H223" s="6"/>
      <c r="I223" s="6"/>
      <c r="J223" s="6"/>
      <c r="K223" s="6"/>
      <c r="L223" s="6"/>
      <c r="M223" s="14"/>
      <c r="N223" s="6"/>
      <c r="O223" s="6"/>
      <c r="P223" s="6"/>
      <c r="Q223" s="6"/>
      <c r="R223" s="12"/>
      <c r="S223" s="12"/>
      <c r="T223" s="12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</row>
    <row r="224" spans="8:51" s="4" customFormat="1" ht="12.75">
      <c r="H224" s="6"/>
      <c r="I224" s="6"/>
      <c r="J224" s="6"/>
      <c r="K224" s="6"/>
      <c r="L224" s="6"/>
      <c r="M224" s="14"/>
      <c r="N224" s="6"/>
      <c r="O224" s="6"/>
      <c r="P224" s="6"/>
      <c r="Q224" s="6"/>
      <c r="R224" s="12"/>
      <c r="S224" s="12"/>
      <c r="T224" s="12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</row>
    <row r="225" spans="8:51" s="4" customFormat="1" ht="12.75">
      <c r="H225" s="6"/>
      <c r="I225" s="6"/>
      <c r="J225" s="6"/>
      <c r="K225" s="6"/>
      <c r="L225" s="6"/>
      <c r="M225" s="14"/>
      <c r="N225" s="6"/>
      <c r="O225" s="6"/>
      <c r="P225" s="6"/>
      <c r="Q225" s="6"/>
      <c r="R225" s="12"/>
      <c r="S225" s="12"/>
      <c r="T225" s="12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</row>
    <row r="226" spans="8:51" s="4" customFormat="1" ht="12.75">
      <c r="H226" s="6"/>
      <c r="I226" s="6"/>
      <c r="J226" s="6"/>
      <c r="K226" s="6"/>
      <c r="L226" s="6"/>
      <c r="M226" s="14"/>
      <c r="N226" s="6"/>
      <c r="O226" s="6"/>
      <c r="P226" s="6"/>
      <c r="Q226" s="6"/>
      <c r="R226" s="12"/>
      <c r="S226" s="12"/>
      <c r="T226" s="12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</row>
    <row r="227" spans="8:51" s="4" customFormat="1" ht="12.75">
      <c r="H227" s="6"/>
      <c r="I227" s="6"/>
      <c r="J227" s="6"/>
      <c r="K227" s="6"/>
      <c r="L227" s="6"/>
      <c r="M227" s="14"/>
      <c r="N227" s="6"/>
      <c r="O227" s="6"/>
      <c r="P227" s="6"/>
      <c r="Q227" s="6"/>
      <c r="R227" s="12"/>
      <c r="S227" s="12"/>
      <c r="T227" s="12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</row>
    <row r="228" spans="8:51" s="4" customFormat="1" ht="12.75">
      <c r="H228" s="6"/>
      <c r="I228" s="6"/>
      <c r="J228" s="6"/>
      <c r="K228" s="6"/>
      <c r="L228" s="6"/>
      <c r="M228" s="14"/>
      <c r="N228" s="6"/>
      <c r="O228" s="6"/>
      <c r="P228" s="6"/>
      <c r="Q228" s="6"/>
      <c r="R228" s="12"/>
      <c r="S228" s="12"/>
      <c r="T228" s="12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</row>
    <row r="229" spans="8:51" s="4" customFormat="1" ht="12.75">
      <c r="H229" s="6"/>
      <c r="I229" s="6"/>
      <c r="J229" s="6"/>
      <c r="K229" s="6"/>
      <c r="L229" s="6"/>
      <c r="M229" s="14"/>
      <c r="N229" s="6"/>
      <c r="O229" s="6"/>
      <c r="P229" s="6"/>
      <c r="Q229" s="6"/>
      <c r="R229" s="12"/>
      <c r="S229" s="12"/>
      <c r="T229" s="12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</row>
    <row r="230" spans="8:51" s="4" customFormat="1" ht="12.75">
      <c r="H230" s="6"/>
      <c r="I230" s="6"/>
      <c r="J230" s="6"/>
      <c r="K230" s="6"/>
      <c r="L230" s="6"/>
      <c r="M230" s="14"/>
      <c r="N230" s="6"/>
      <c r="O230" s="6"/>
      <c r="P230" s="6"/>
      <c r="Q230" s="6"/>
      <c r="R230" s="12"/>
      <c r="S230" s="12"/>
      <c r="T230" s="12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</row>
    <row r="231" spans="8:51" s="4" customFormat="1" ht="12.75">
      <c r="H231" s="6"/>
      <c r="I231" s="6"/>
      <c r="J231" s="6"/>
      <c r="K231" s="6"/>
      <c r="L231" s="6"/>
      <c r="M231" s="14"/>
      <c r="N231" s="6"/>
      <c r="O231" s="6"/>
      <c r="P231" s="6"/>
      <c r="Q231" s="6"/>
      <c r="R231" s="12"/>
      <c r="S231" s="12"/>
      <c r="T231" s="12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</row>
    <row r="232" spans="8:51" s="4" customFormat="1" ht="12.75">
      <c r="H232" s="6"/>
      <c r="I232" s="6"/>
      <c r="J232" s="6"/>
      <c r="K232" s="6"/>
      <c r="L232" s="6"/>
      <c r="M232" s="14"/>
      <c r="N232" s="6"/>
      <c r="O232" s="6"/>
      <c r="P232" s="6"/>
      <c r="Q232" s="6"/>
      <c r="R232" s="12"/>
      <c r="S232" s="12"/>
      <c r="T232" s="12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</row>
    <row r="233" spans="8:51" s="4" customFormat="1" ht="12.75">
      <c r="H233" s="6"/>
      <c r="I233" s="6"/>
      <c r="J233" s="6"/>
      <c r="K233" s="6"/>
      <c r="L233" s="6"/>
      <c r="M233" s="14"/>
      <c r="N233" s="6"/>
      <c r="O233" s="6"/>
      <c r="P233" s="6"/>
      <c r="Q233" s="6"/>
      <c r="R233" s="12"/>
      <c r="S233" s="12"/>
      <c r="T233" s="12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</row>
    <row r="234" spans="8:51" s="4" customFormat="1" ht="12.75">
      <c r="H234" s="6"/>
      <c r="I234" s="6"/>
      <c r="J234" s="6"/>
      <c r="K234" s="6"/>
      <c r="L234" s="6"/>
      <c r="M234" s="14"/>
      <c r="N234" s="6"/>
      <c r="O234" s="6"/>
      <c r="P234" s="6"/>
      <c r="Q234" s="6"/>
      <c r="R234" s="12"/>
      <c r="S234" s="12"/>
      <c r="T234" s="12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</row>
    <row r="235" spans="8:51" s="4" customFormat="1" ht="12.75">
      <c r="H235" s="6"/>
      <c r="I235" s="6"/>
      <c r="J235" s="6"/>
      <c r="K235" s="6"/>
      <c r="L235" s="6"/>
      <c r="M235" s="14"/>
      <c r="N235" s="6"/>
      <c r="O235" s="6"/>
      <c r="P235" s="6"/>
      <c r="Q235" s="6"/>
      <c r="R235" s="12"/>
      <c r="S235" s="12"/>
      <c r="T235" s="12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</row>
    <row r="236" spans="8:51" s="4" customFormat="1" ht="12.75">
      <c r="H236" s="6"/>
      <c r="I236" s="6"/>
      <c r="J236" s="6"/>
      <c r="K236" s="6"/>
      <c r="L236" s="6"/>
      <c r="M236" s="14"/>
      <c r="N236" s="6"/>
      <c r="O236" s="6"/>
      <c r="P236" s="6"/>
      <c r="Q236" s="6"/>
      <c r="R236" s="12"/>
      <c r="S236" s="12"/>
      <c r="T236" s="12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</row>
    <row r="237" spans="8:51" s="4" customFormat="1" ht="12.75">
      <c r="H237" s="6"/>
      <c r="I237" s="6"/>
      <c r="J237" s="6"/>
      <c r="K237" s="6"/>
      <c r="L237" s="6"/>
      <c r="M237" s="14"/>
      <c r="N237" s="6"/>
      <c r="O237" s="6"/>
      <c r="P237" s="6"/>
      <c r="Q237" s="6"/>
      <c r="R237" s="12"/>
      <c r="S237" s="12"/>
      <c r="T237" s="12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</row>
    <row r="238" spans="8:51" s="4" customFormat="1" ht="12.75">
      <c r="H238" s="6"/>
      <c r="I238" s="6"/>
      <c r="J238" s="6"/>
      <c r="K238" s="6"/>
      <c r="L238" s="6"/>
      <c r="M238" s="14"/>
      <c r="N238" s="6"/>
      <c r="O238" s="6"/>
      <c r="P238" s="6"/>
      <c r="Q238" s="6"/>
      <c r="R238" s="12"/>
      <c r="S238" s="12"/>
      <c r="T238" s="12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</row>
    <row r="239" spans="8:51" s="4" customFormat="1" ht="12.75">
      <c r="H239" s="6"/>
      <c r="I239" s="6"/>
      <c r="J239" s="6"/>
      <c r="K239" s="6"/>
      <c r="L239" s="6"/>
      <c r="M239" s="14"/>
      <c r="N239" s="6"/>
      <c r="O239" s="6"/>
      <c r="P239" s="6"/>
      <c r="Q239" s="6"/>
      <c r="R239" s="12"/>
      <c r="S239" s="12"/>
      <c r="T239" s="12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</row>
    <row r="240" spans="8:51" s="4" customFormat="1" ht="12.75">
      <c r="H240" s="6"/>
      <c r="I240" s="6"/>
      <c r="J240" s="6"/>
      <c r="K240" s="6"/>
      <c r="L240" s="6"/>
      <c r="M240" s="14"/>
      <c r="N240" s="6"/>
      <c r="O240" s="6"/>
      <c r="P240" s="6"/>
      <c r="Q240" s="6"/>
      <c r="R240" s="12"/>
      <c r="S240" s="12"/>
      <c r="T240" s="12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</row>
    <row r="241" spans="8:51" s="4" customFormat="1" ht="12.75">
      <c r="H241" s="6"/>
      <c r="I241" s="6"/>
      <c r="J241" s="6"/>
      <c r="K241" s="6"/>
      <c r="L241" s="6"/>
      <c r="M241" s="14"/>
      <c r="N241" s="6"/>
      <c r="O241" s="6"/>
      <c r="P241" s="6"/>
      <c r="Q241" s="6"/>
      <c r="R241" s="12"/>
      <c r="S241" s="12"/>
      <c r="T241" s="12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</row>
    <row r="242" spans="8:51" s="4" customFormat="1" ht="12.75">
      <c r="H242" s="6"/>
      <c r="I242" s="6"/>
      <c r="J242" s="6"/>
      <c r="K242" s="6"/>
      <c r="L242" s="6"/>
      <c r="M242" s="14"/>
      <c r="N242" s="6"/>
      <c r="O242" s="6"/>
      <c r="P242" s="6"/>
      <c r="Q242" s="6"/>
      <c r="R242" s="12"/>
      <c r="S242" s="12"/>
      <c r="T242" s="12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</row>
    <row r="243" spans="8:51" s="4" customFormat="1" ht="12.75">
      <c r="H243" s="6"/>
      <c r="I243" s="6"/>
      <c r="J243" s="6"/>
      <c r="K243" s="6"/>
      <c r="L243" s="6"/>
      <c r="M243" s="14"/>
      <c r="N243" s="6"/>
      <c r="O243" s="6"/>
      <c r="P243" s="6"/>
      <c r="Q243" s="6"/>
      <c r="R243" s="12"/>
      <c r="S243" s="12"/>
      <c r="T243" s="12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</row>
    <row r="244" spans="8:51" s="4" customFormat="1" ht="12.75">
      <c r="H244" s="6"/>
      <c r="I244" s="6"/>
      <c r="J244" s="6"/>
      <c r="K244" s="6"/>
      <c r="L244" s="6"/>
      <c r="M244" s="14"/>
      <c r="N244" s="6"/>
      <c r="O244" s="6"/>
      <c r="P244" s="6"/>
      <c r="Q244" s="6"/>
      <c r="R244" s="12"/>
      <c r="S244" s="12"/>
      <c r="T244" s="12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</row>
    <row r="245" spans="8:51" s="4" customFormat="1" ht="12.75">
      <c r="H245" s="6"/>
      <c r="I245" s="6"/>
      <c r="J245" s="6"/>
      <c r="K245" s="6"/>
      <c r="L245" s="6"/>
      <c r="M245" s="14"/>
      <c r="N245" s="6"/>
      <c r="O245" s="6"/>
      <c r="P245" s="6"/>
      <c r="Q245" s="6"/>
      <c r="R245" s="12"/>
      <c r="S245" s="12"/>
      <c r="T245" s="12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</row>
    <row r="246" spans="8:51" s="4" customFormat="1" ht="12.75">
      <c r="H246" s="6"/>
      <c r="I246" s="6"/>
      <c r="J246" s="6"/>
      <c r="K246" s="6"/>
      <c r="L246" s="6"/>
      <c r="M246" s="14"/>
      <c r="N246" s="6"/>
      <c r="O246" s="6"/>
      <c r="P246" s="6"/>
      <c r="Q246" s="6"/>
      <c r="R246" s="12"/>
      <c r="S246" s="12"/>
      <c r="T246" s="12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</row>
    <row r="247" spans="8:51" s="4" customFormat="1" ht="12.75">
      <c r="H247" s="6"/>
      <c r="I247" s="6"/>
      <c r="J247" s="6"/>
      <c r="K247" s="6"/>
      <c r="L247" s="6"/>
      <c r="M247" s="14"/>
      <c r="N247" s="6"/>
      <c r="O247" s="6"/>
      <c r="P247" s="6"/>
      <c r="Q247" s="6"/>
      <c r="R247" s="12"/>
      <c r="S247" s="12"/>
      <c r="T247" s="12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</row>
    <row r="248" spans="8:51" s="4" customFormat="1" ht="12.75">
      <c r="H248" s="6"/>
      <c r="I248" s="6"/>
      <c r="J248" s="6"/>
      <c r="K248" s="6"/>
      <c r="L248" s="6"/>
      <c r="M248" s="14"/>
      <c r="N248" s="6"/>
      <c r="O248" s="6"/>
      <c r="P248" s="6"/>
      <c r="Q248" s="6"/>
      <c r="R248" s="12"/>
      <c r="S248" s="12"/>
      <c r="T248" s="12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</row>
    <row r="249" spans="8:51" s="4" customFormat="1" ht="12.75">
      <c r="H249" s="6"/>
      <c r="I249" s="6"/>
      <c r="J249" s="6"/>
      <c r="K249" s="6"/>
      <c r="L249" s="6"/>
      <c r="M249" s="14"/>
      <c r="N249" s="6"/>
      <c r="O249" s="6"/>
      <c r="P249" s="6"/>
      <c r="Q249" s="6"/>
      <c r="R249" s="12"/>
      <c r="S249" s="12"/>
      <c r="T249" s="12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</row>
    <row r="250" spans="8:51" s="4" customFormat="1" ht="12.75">
      <c r="H250" s="6"/>
      <c r="I250" s="6"/>
      <c r="J250" s="6"/>
      <c r="K250" s="6"/>
      <c r="L250" s="6"/>
      <c r="M250" s="14"/>
      <c r="N250" s="6"/>
      <c r="O250" s="6"/>
      <c r="P250" s="6"/>
      <c r="Q250" s="6"/>
      <c r="R250" s="12"/>
      <c r="S250" s="12"/>
      <c r="T250" s="12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</row>
    <row r="251" spans="8:51" s="4" customFormat="1" ht="12.75">
      <c r="H251" s="6"/>
      <c r="I251" s="6"/>
      <c r="J251" s="6"/>
      <c r="K251" s="6"/>
      <c r="L251" s="6"/>
      <c r="M251" s="14"/>
      <c r="N251" s="6"/>
      <c r="O251" s="6"/>
      <c r="P251" s="6"/>
      <c r="Q251" s="6"/>
      <c r="R251" s="12"/>
      <c r="S251" s="12"/>
      <c r="T251" s="12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</row>
    <row r="252" spans="8:51" s="4" customFormat="1" ht="12.75">
      <c r="H252" s="6"/>
      <c r="I252" s="6"/>
      <c r="J252" s="6"/>
      <c r="K252" s="6"/>
      <c r="L252" s="6"/>
      <c r="M252" s="14"/>
      <c r="N252" s="6"/>
      <c r="O252" s="6"/>
      <c r="P252" s="6"/>
      <c r="Q252" s="6"/>
      <c r="R252" s="12"/>
      <c r="S252" s="12"/>
      <c r="T252" s="12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</row>
    <row r="253" spans="8:51" s="4" customFormat="1" ht="12.75">
      <c r="H253" s="6"/>
      <c r="I253" s="6"/>
      <c r="J253" s="6"/>
      <c r="K253" s="6"/>
      <c r="L253" s="6"/>
      <c r="M253" s="14"/>
      <c r="N253" s="6"/>
      <c r="O253" s="6"/>
      <c r="P253" s="6"/>
      <c r="Q253" s="6"/>
      <c r="R253" s="12"/>
      <c r="S253" s="12"/>
      <c r="T253" s="12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</row>
    <row r="254" spans="8:51" s="4" customFormat="1" ht="12.75">
      <c r="H254" s="6"/>
      <c r="I254" s="6"/>
      <c r="J254" s="6"/>
      <c r="K254" s="6"/>
      <c r="L254" s="6"/>
      <c r="M254" s="14"/>
      <c r="N254" s="6"/>
      <c r="O254" s="6"/>
      <c r="P254" s="6"/>
      <c r="Q254" s="6"/>
      <c r="R254" s="12"/>
      <c r="S254" s="12"/>
      <c r="T254" s="12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</row>
    <row r="255" spans="8:51" s="4" customFormat="1" ht="12.75">
      <c r="H255" s="6"/>
      <c r="I255" s="6"/>
      <c r="J255" s="6"/>
      <c r="K255" s="6"/>
      <c r="L255" s="6"/>
      <c r="M255" s="14"/>
      <c r="N255" s="6"/>
      <c r="O255" s="6"/>
      <c r="P255" s="6"/>
      <c r="Q255" s="6"/>
      <c r="R255" s="12"/>
      <c r="S255" s="12"/>
      <c r="T255" s="12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</row>
    <row r="256" spans="8:51" s="4" customFormat="1" ht="12.75">
      <c r="H256" s="6"/>
      <c r="I256" s="6"/>
      <c r="J256" s="6"/>
      <c r="K256" s="6"/>
      <c r="L256" s="6"/>
      <c r="M256" s="14"/>
      <c r="N256" s="6"/>
      <c r="O256" s="6"/>
      <c r="P256" s="6"/>
      <c r="Q256" s="6"/>
      <c r="R256" s="12"/>
      <c r="S256" s="12"/>
      <c r="T256" s="12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</row>
    <row r="257" spans="8:51" s="4" customFormat="1" ht="12.75">
      <c r="H257" s="6"/>
      <c r="I257" s="6"/>
      <c r="J257" s="6"/>
      <c r="K257" s="6"/>
      <c r="L257" s="6"/>
      <c r="M257" s="14"/>
      <c r="N257" s="6"/>
      <c r="O257" s="6"/>
      <c r="P257" s="6"/>
      <c r="Q257" s="6"/>
      <c r="R257" s="12"/>
      <c r="S257" s="12"/>
      <c r="T257" s="12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</row>
    <row r="258" spans="8:51" s="4" customFormat="1" ht="12.75">
      <c r="H258" s="6"/>
      <c r="I258" s="6"/>
      <c r="J258" s="6"/>
      <c r="K258" s="6"/>
      <c r="L258" s="6"/>
      <c r="M258" s="14"/>
      <c r="N258" s="6"/>
      <c r="O258" s="6"/>
      <c r="P258" s="6"/>
      <c r="Q258" s="6"/>
      <c r="R258" s="12"/>
      <c r="S258" s="12"/>
      <c r="T258" s="12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</row>
    <row r="259" spans="8:51" s="4" customFormat="1" ht="12.75">
      <c r="H259" s="6"/>
      <c r="I259" s="6"/>
      <c r="J259" s="6"/>
      <c r="K259" s="6"/>
      <c r="L259" s="6"/>
      <c r="M259" s="14"/>
      <c r="N259" s="6"/>
      <c r="O259" s="6"/>
      <c r="P259" s="6"/>
      <c r="Q259" s="6"/>
      <c r="R259" s="12"/>
      <c r="S259" s="12"/>
      <c r="T259" s="12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</row>
    <row r="260" spans="8:51" s="4" customFormat="1" ht="12.75">
      <c r="H260" s="6"/>
      <c r="I260" s="6"/>
      <c r="J260" s="6"/>
      <c r="K260" s="6"/>
      <c r="L260" s="6"/>
      <c r="M260" s="14"/>
      <c r="N260" s="6"/>
      <c r="O260" s="6"/>
      <c r="P260" s="6"/>
      <c r="Q260" s="6"/>
      <c r="R260" s="12"/>
      <c r="S260" s="12"/>
      <c r="T260" s="12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</row>
    <row r="261" spans="8:51" s="4" customFormat="1" ht="12.75">
      <c r="H261" s="6"/>
      <c r="I261" s="6"/>
      <c r="J261" s="6"/>
      <c r="K261" s="6"/>
      <c r="L261" s="6"/>
      <c r="M261" s="14"/>
      <c r="N261" s="6"/>
      <c r="O261" s="6"/>
      <c r="P261" s="6"/>
      <c r="Q261" s="6"/>
      <c r="R261" s="12"/>
      <c r="S261" s="12"/>
      <c r="T261" s="12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</row>
    <row r="262" spans="8:51" s="4" customFormat="1" ht="12.75">
      <c r="H262" s="6"/>
      <c r="I262" s="6"/>
      <c r="J262" s="6"/>
      <c r="K262" s="6"/>
      <c r="L262" s="6"/>
      <c r="M262" s="14"/>
      <c r="N262" s="6"/>
      <c r="O262" s="6"/>
      <c r="P262" s="6"/>
      <c r="Q262" s="6"/>
      <c r="R262" s="12"/>
      <c r="S262" s="12"/>
      <c r="T262" s="12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</row>
    <row r="263" spans="8:51" s="4" customFormat="1" ht="12.75">
      <c r="H263" s="6"/>
      <c r="I263" s="6"/>
      <c r="J263" s="6"/>
      <c r="K263" s="6"/>
      <c r="L263" s="6"/>
      <c r="M263" s="14"/>
      <c r="N263" s="6"/>
      <c r="O263" s="6"/>
      <c r="P263" s="6"/>
      <c r="Q263" s="6"/>
      <c r="R263" s="12"/>
      <c r="S263" s="12"/>
      <c r="T263" s="12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</row>
    <row r="264" spans="8:51" s="4" customFormat="1" ht="12.75">
      <c r="H264" s="6"/>
      <c r="I264" s="6"/>
      <c r="J264" s="6"/>
      <c r="K264" s="6"/>
      <c r="L264" s="6"/>
      <c r="M264" s="14"/>
      <c r="N264" s="6"/>
      <c r="O264" s="6"/>
      <c r="P264" s="6"/>
      <c r="Q264" s="6"/>
      <c r="R264" s="12"/>
      <c r="S264" s="12"/>
      <c r="T264" s="12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</row>
    <row r="265" spans="8:51" s="4" customFormat="1" ht="12.75">
      <c r="H265" s="6"/>
      <c r="I265" s="6"/>
      <c r="J265" s="6"/>
      <c r="K265" s="6"/>
      <c r="L265" s="6"/>
      <c r="M265" s="14"/>
      <c r="N265" s="6"/>
      <c r="O265" s="6"/>
      <c r="P265" s="6"/>
      <c r="Q265" s="6"/>
      <c r="R265" s="12"/>
      <c r="S265" s="12"/>
      <c r="T265" s="12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</row>
    <row r="266" spans="8:51" s="4" customFormat="1" ht="12.75">
      <c r="H266" s="6"/>
      <c r="I266" s="6"/>
      <c r="J266" s="6"/>
      <c r="K266" s="6"/>
      <c r="L266" s="6"/>
      <c r="M266" s="14"/>
      <c r="N266" s="6"/>
      <c r="O266" s="6"/>
      <c r="P266" s="6"/>
      <c r="Q266" s="6"/>
      <c r="R266" s="12"/>
      <c r="S266" s="12"/>
      <c r="T266" s="12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</row>
    <row r="267" spans="8:51" s="4" customFormat="1" ht="12.75">
      <c r="H267" s="6"/>
      <c r="I267" s="6"/>
      <c r="J267" s="6"/>
      <c r="K267" s="6"/>
      <c r="L267" s="6"/>
      <c r="M267" s="14"/>
      <c r="N267" s="6"/>
      <c r="O267" s="6"/>
      <c r="P267" s="6"/>
      <c r="Q267" s="6"/>
      <c r="R267" s="12"/>
      <c r="S267" s="12"/>
      <c r="T267" s="12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</row>
    <row r="268" spans="8:51" s="4" customFormat="1" ht="12.75">
      <c r="H268" s="6"/>
      <c r="I268" s="6"/>
      <c r="J268" s="6"/>
      <c r="K268" s="6"/>
      <c r="L268" s="6"/>
      <c r="M268" s="14"/>
      <c r="N268" s="6"/>
      <c r="O268" s="6"/>
      <c r="P268" s="6"/>
      <c r="Q268" s="6"/>
      <c r="R268" s="12"/>
      <c r="S268" s="12"/>
      <c r="T268" s="12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</row>
    <row r="269" spans="8:51" s="4" customFormat="1" ht="12.75">
      <c r="H269" s="6"/>
      <c r="I269" s="6"/>
      <c r="J269" s="6"/>
      <c r="K269" s="6"/>
      <c r="L269" s="6"/>
      <c r="M269" s="14"/>
      <c r="N269" s="6"/>
      <c r="O269" s="6"/>
      <c r="P269" s="6"/>
      <c r="Q269" s="6"/>
      <c r="R269" s="12"/>
      <c r="S269" s="12"/>
      <c r="T269" s="12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</row>
    <row r="270" spans="8:51" s="4" customFormat="1" ht="12.75">
      <c r="H270" s="6"/>
      <c r="I270" s="6"/>
      <c r="J270" s="6"/>
      <c r="K270" s="6"/>
      <c r="L270" s="6"/>
      <c r="M270" s="14"/>
      <c r="N270" s="6"/>
      <c r="O270" s="6"/>
      <c r="P270" s="6"/>
      <c r="Q270" s="6"/>
      <c r="R270" s="12"/>
      <c r="S270" s="12"/>
      <c r="T270" s="12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</row>
    <row r="271" spans="8:51" s="4" customFormat="1" ht="12.75">
      <c r="H271" s="6"/>
      <c r="I271" s="6"/>
      <c r="J271" s="6"/>
      <c r="K271" s="6"/>
      <c r="L271" s="6"/>
      <c r="M271" s="14"/>
      <c r="N271" s="6"/>
      <c r="O271" s="6"/>
      <c r="P271" s="6"/>
      <c r="Q271" s="6"/>
      <c r="R271" s="12"/>
      <c r="S271" s="12"/>
      <c r="T271" s="12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</row>
    <row r="272" spans="8:51" s="4" customFormat="1" ht="12.75">
      <c r="H272" s="6"/>
      <c r="I272" s="6"/>
      <c r="J272" s="6"/>
      <c r="K272" s="6"/>
      <c r="L272" s="6"/>
      <c r="M272" s="14"/>
      <c r="N272" s="6"/>
      <c r="O272" s="6"/>
      <c r="P272" s="6"/>
      <c r="Q272" s="6"/>
      <c r="R272" s="12"/>
      <c r="S272" s="12"/>
      <c r="T272" s="12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</row>
    <row r="273" spans="8:51" s="4" customFormat="1" ht="12.75">
      <c r="H273" s="6"/>
      <c r="I273" s="6"/>
      <c r="J273" s="6"/>
      <c r="K273" s="6"/>
      <c r="L273" s="6"/>
      <c r="M273" s="14"/>
      <c r="N273" s="6"/>
      <c r="O273" s="6"/>
      <c r="P273" s="6"/>
      <c r="Q273" s="6"/>
      <c r="R273" s="12"/>
      <c r="S273" s="12"/>
      <c r="T273" s="12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</row>
    <row r="274" spans="8:51" s="4" customFormat="1" ht="12.75">
      <c r="H274" s="6"/>
      <c r="I274" s="6"/>
      <c r="J274" s="6"/>
      <c r="K274" s="6"/>
      <c r="L274" s="6"/>
      <c r="M274" s="14"/>
      <c r="N274" s="6"/>
      <c r="O274" s="6"/>
      <c r="P274" s="6"/>
      <c r="Q274" s="6"/>
      <c r="R274" s="12"/>
      <c r="S274" s="12"/>
      <c r="T274" s="12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</row>
    <row r="275" spans="8:51" s="4" customFormat="1" ht="12.75">
      <c r="H275" s="6"/>
      <c r="I275" s="6"/>
      <c r="J275" s="6"/>
      <c r="K275" s="6"/>
      <c r="L275" s="6"/>
      <c r="M275" s="14"/>
      <c r="N275" s="6"/>
      <c r="O275" s="6"/>
      <c r="P275" s="6"/>
      <c r="Q275" s="6"/>
      <c r="R275" s="12"/>
      <c r="S275" s="12"/>
      <c r="T275" s="12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</row>
    <row r="276" spans="8:51" s="4" customFormat="1" ht="12.75">
      <c r="H276" s="6"/>
      <c r="I276" s="6"/>
      <c r="J276" s="6"/>
      <c r="K276" s="6"/>
      <c r="L276" s="6"/>
      <c r="M276" s="14"/>
      <c r="N276" s="6"/>
      <c r="O276" s="6"/>
      <c r="P276" s="6"/>
      <c r="Q276" s="6"/>
      <c r="R276" s="12"/>
      <c r="S276" s="12"/>
      <c r="T276" s="12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</row>
    <row r="277" spans="8:51" s="4" customFormat="1" ht="12.75">
      <c r="H277" s="6"/>
      <c r="I277" s="6"/>
      <c r="J277" s="6"/>
      <c r="K277" s="6"/>
      <c r="L277" s="6"/>
      <c r="M277" s="14"/>
      <c r="N277" s="6"/>
      <c r="O277" s="6"/>
      <c r="P277" s="6"/>
      <c r="Q277" s="6"/>
      <c r="R277" s="12"/>
      <c r="S277" s="12"/>
      <c r="T277" s="12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</row>
    <row r="278" spans="8:51" s="4" customFormat="1" ht="12.75">
      <c r="H278" s="6"/>
      <c r="I278" s="6"/>
      <c r="J278" s="6"/>
      <c r="K278" s="6"/>
      <c r="L278" s="6"/>
      <c r="M278" s="14"/>
      <c r="N278" s="6"/>
      <c r="O278" s="6"/>
      <c r="P278" s="6"/>
      <c r="Q278" s="6"/>
      <c r="R278" s="12"/>
      <c r="S278" s="12"/>
      <c r="T278" s="12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</row>
    <row r="279" spans="8:51" s="4" customFormat="1" ht="12.75">
      <c r="H279" s="6"/>
      <c r="I279" s="6"/>
      <c r="J279" s="6"/>
      <c r="K279" s="6"/>
      <c r="L279" s="6"/>
      <c r="M279" s="14"/>
      <c r="N279" s="6"/>
      <c r="O279" s="6"/>
      <c r="P279" s="6"/>
      <c r="Q279" s="6"/>
      <c r="R279" s="12"/>
      <c r="S279" s="12"/>
      <c r="T279" s="12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</row>
    <row r="280" spans="8:51" s="4" customFormat="1" ht="12.75">
      <c r="H280" s="6"/>
      <c r="I280" s="6"/>
      <c r="J280" s="6"/>
      <c r="K280" s="6"/>
      <c r="L280" s="6"/>
      <c r="M280" s="14"/>
      <c r="N280" s="6"/>
      <c r="O280" s="6"/>
      <c r="P280" s="6"/>
      <c r="Q280" s="6"/>
      <c r="R280" s="12"/>
      <c r="S280" s="12"/>
      <c r="T280" s="12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</row>
    <row r="281" spans="8:51" s="4" customFormat="1" ht="12.75">
      <c r="H281" s="6"/>
      <c r="I281" s="6"/>
      <c r="J281" s="6"/>
      <c r="K281" s="6"/>
      <c r="L281" s="6"/>
      <c r="M281" s="14"/>
      <c r="N281" s="6"/>
      <c r="O281" s="6"/>
      <c r="P281" s="6"/>
      <c r="Q281" s="6"/>
      <c r="R281" s="12"/>
      <c r="S281" s="12"/>
      <c r="T281" s="12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</row>
    <row r="282" spans="8:51" s="4" customFormat="1" ht="12.75">
      <c r="H282" s="6"/>
      <c r="I282" s="6"/>
      <c r="J282" s="6"/>
      <c r="K282" s="6"/>
      <c r="L282" s="6"/>
      <c r="M282" s="14"/>
      <c r="N282" s="6"/>
      <c r="O282" s="6"/>
      <c r="P282" s="6"/>
      <c r="Q282" s="6"/>
      <c r="R282" s="12"/>
      <c r="S282" s="12"/>
      <c r="T282" s="12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</row>
    <row r="283" spans="8:51" s="4" customFormat="1" ht="12.75">
      <c r="H283" s="6"/>
      <c r="I283" s="6"/>
      <c r="J283" s="6"/>
      <c r="K283" s="6"/>
      <c r="L283" s="6"/>
      <c r="M283" s="14"/>
      <c r="N283" s="6"/>
      <c r="O283" s="6"/>
      <c r="P283" s="6"/>
      <c r="Q283" s="6"/>
      <c r="R283" s="12"/>
      <c r="S283" s="12"/>
      <c r="T283" s="12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</row>
    <row r="284" spans="8:51" s="4" customFormat="1" ht="12.75">
      <c r="H284" s="6"/>
      <c r="I284" s="6"/>
      <c r="J284" s="6"/>
      <c r="K284" s="6"/>
      <c r="L284" s="6"/>
      <c r="M284" s="14"/>
      <c r="N284" s="6"/>
      <c r="O284" s="6"/>
      <c r="P284" s="6"/>
      <c r="Q284" s="6"/>
      <c r="R284" s="12"/>
      <c r="S284" s="12"/>
      <c r="T284" s="12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</row>
    <row r="285" spans="8:51" s="4" customFormat="1" ht="12.75">
      <c r="H285" s="6"/>
      <c r="I285" s="6"/>
      <c r="J285" s="6"/>
      <c r="K285" s="6"/>
      <c r="L285" s="6"/>
      <c r="M285" s="14"/>
      <c r="N285" s="6"/>
      <c r="O285" s="6"/>
      <c r="P285" s="6"/>
      <c r="Q285" s="6"/>
      <c r="R285" s="12"/>
      <c r="S285" s="12"/>
      <c r="T285" s="12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</row>
    <row r="286" spans="8:51" s="4" customFormat="1" ht="12.75">
      <c r="H286" s="6"/>
      <c r="I286" s="6"/>
      <c r="J286" s="6"/>
      <c r="K286" s="6"/>
      <c r="L286" s="6"/>
      <c r="M286" s="14"/>
      <c r="N286" s="6"/>
      <c r="O286" s="6"/>
      <c r="P286" s="6"/>
      <c r="Q286" s="6"/>
      <c r="R286" s="12"/>
      <c r="S286" s="12"/>
      <c r="T286" s="12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</row>
    <row r="287" spans="8:51" s="4" customFormat="1" ht="12.75">
      <c r="H287" s="6"/>
      <c r="I287" s="6"/>
      <c r="J287" s="6"/>
      <c r="K287" s="6"/>
      <c r="L287" s="6"/>
      <c r="M287" s="14"/>
      <c r="N287" s="6"/>
      <c r="O287" s="6"/>
      <c r="P287" s="6"/>
      <c r="Q287" s="6"/>
      <c r="R287" s="12"/>
      <c r="S287" s="12"/>
      <c r="T287" s="12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</row>
    <row r="288" spans="8:51" s="4" customFormat="1" ht="12.75">
      <c r="H288" s="6"/>
      <c r="I288" s="6"/>
      <c r="J288" s="6"/>
      <c r="K288" s="6"/>
      <c r="L288" s="6"/>
      <c r="M288" s="14"/>
      <c r="N288" s="6"/>
      <c r="O288" s="6"/>
      <c r="P288" s="6"/>
      <c r="Q288" s="6"/>
      <c r="R288" s="12"/>
      <c r="S288" s="12"/>
      <c r="T288" s="12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</row>
    <row r="289" spans="8:51" s="4" customFormat="1" ht="12.75">
      <c r="H289" s="6"/>
      <c r="I289" s="6"/>
      <c r="J289" s="6"/>
      <c r="K289" s="6"/>
      <c r="L289" s="6"/>
      <c r="M289" s="14"/>
      <c r="N289" s="6"/>
      <c r="O289" s="6"/>
      <c r="P289" s="6"/>
      <c r="Q289" s="6"/>
      <c r="R289" s="12"/>
      <c r="S289" s="12"/>
      <c r="T289" s="12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</row>
    <row r="290" spans="8:51" s="4" customFormat="1" ht="12.75">
      <c r="H290" s="6"/>
      <c r="I290" s="6"/>
      <c r="J290" s="6"/>
      <c r="K290" s="6"/>
      <c r="L290" s="6"/>
      <c r="M290" s="14"/>
      <c r="N290" s="6"/>
      <c r="O290" s="6"/>
      <c r="P290" s="6"/>
      <c r="Q290" s="6"/>
      <c r="R290" s="12"/>
      <c r="S290" s="12"/>
      <c r="T290" s="12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</row>
    <row r="291" spans="8:51" s="4" customFormat="1" ht="12.75">
      <c r="H291" s="6"/>
      <c r="I291" s="6"/>
      <c r="J291" s="6"/>
      <c r="K291" s="6"/>
      <c r="L291" s="6"/>
      <c r="M291" s="14"/>
      <c r="N291" s="6"/>
      <c r="O291" s="6"/>
      <c r="P291" s="6"/>
      <c r="Q291" s="6"/>
      <c r="R291" s="12"/>
      <c r="S291" s="12"/>
      <c r="T291" s="12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</row>
    <row r="292" spans="8:51" s="4" customFormat="1" ht="12.75">
      <c r="H292" s="6"/>
      <c r="I292" s="6"/>
      <c r="J292" s="6"/>
      <c r="K292" s="6"/>
      <c r="L292" s="6"/>
      <c r="M292" s="14"/>
      <c r="N292" s="6"/>
      <c r="O292" s="6"/>
      <c r="P292" s="6"/>
      <c r="Q292" s="6"/>
      <c r="R292" s="12"/>
      <c r="S292" s="12"/>
      <c r="T292" s="12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</row>
    <row r="293" spans="8:51" s="4" customFormat="1" ht="12.75">
      <c r="H293" s="6"/>
      <c r="I293" s="6"/>
      <c r="J293" s="6"/>
      <c r="K293" s="6"/>
      <c r="L293" s="6"/>
      <c r="M293" s="14"/>
      <c r="N293" s="6"/>
      <c r="O293" s="6"/>
      <c r="P293" s="6"/>
      <c r="Q293" s="6"/>
      <c r="R293" s="12"/>
      <c r="S293" s="12"/>
      <c r="T293" s="12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</row>
    <row r="294" spans="8:51" s="4" customFormat="1" ht="12.75">
      <c r="H294" s="6"/>
      <c r="I294" s="6"/>
      <c r="J294" s="6"/>
      <c r="K294" s="6"/>
      <c r="L294" s="6"/>
      <c r="M294" s="14"/>
      <c r="N294" s="6"/>
      <c r="O294" s="6"/>
      <c r="P294" s="6"/>
      <c r="Q294" s="6"/>
      <c r="R294" s="12"/>
      <c r="S294" s="12"/>
      <c r="T294" s="12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</row>
    <row r="295" spans="8:51" s="4" customFormat="1" ht="12.75">
      <c r="H295" s="6"/>
      <c r="I295" s="6"/>
      <c r="J295" s="6"/>
      <c r="K295" s="6"/>
      <c r="L295" s="6"/>
      <c r="M295" s="14"/>
      <c r="N295" s="6"/>
      <c r="O295" s="6"/>
      <c r="P295" s="6"/>
      <c r="Q295" s="6"/>
      <c r="R295" s="12"/>
      <c r="S295" s="12"/>
      <c r="T295" s="12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</row>
    <row r="296" spans="8:51" s="4" customFormat="1" ht="12.75">
      <c r="H296" s="6"/>
      <c r="I296" s="6"/>
      <c r="J296" s="6"/>
      <c r="K296" s="6"/>
      <c r="L296" s="6"/>
      <c r="M296" s="14"/>
      <c r="N296" s="6"/>
      <c r="O296" s="6"/>
      <c r="P296" s="6"/>
      <c r="Q296" s="6"/>
      <c r="R296" s="12"/>
      <c r="S296" s="12"/>
      <c r="T296" s="12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</row>
    <row r="297" spans="8:51" s="4" customFormat="1" ht="12.75">
      <c r="H297" s="6"/>
      <c r="I297" s="6"/>
      <c r="J297" s="6"/>
      <c r="K297" s="6"/>
      <c r="L297" s="6"/>
      <c r="M297" s="14"/>
      <c r="N297" s="6"/>
      <c r="O297" s="6"/>
      <c r="P297" s="6"/>
      <c r="Q297" s="6"/>
      <c r="R297" s="12"/>
      <c r="S297" s="12"/>
      <c r="T297" s="12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</row>
    <row r="298" spans="8:51" s="4" customFormat="1" ht="12.75">
      <c r="H298" s="6"/>
      <c r="I298" s="6"/>
      <c r="J298" s="6"/>
      <c r="K298" s="6"/>
      <c r="L298" s="6"/>
      <c r="M298" s="14"/>
      <c r="N298" s="6"/>
      <c r="O298" s="6"/>
      <c r="P298" s="6"/>
      <c r="Q298" s="6"/>
      <c r="R298" s="12"/>
      <c r="S298" s="12"/>
      <c r="T298" s="12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</row>
    <row r="299" spans="8:51" s="4" customFormat="1" ht="12.75">
      <c r="H299" s="6"/>
      <c r="I299" s="6"/>
      <c r="J299" s="6"/>
      <c r="K299" s="6"/>
      <c r="L299" s="6"/>
      <c r="M299" s="14"/>
      <c r="N299" s="6"/>
      <c r="O299" s="6"/>
      <c r="P299" s="6"/>
      <c r="Q299" s="6"/>
      <c r="R299" s="12"/>
      <c r="S299" s="12"/>
      <c r="T299" s="12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</row>
    <row r="300" spans="8:51" s="4" customFormat="1" ht="12.75">
      <c r="H300" s="6"/>
      <c r="I300" s="6"/>
      <c r="J300" s="6"/>
      <c r="K300" s="6"/>
      <c r="L300" s="6"/>
      <c r="M300" s="14"/>
      <c r="N300" s="6"/>
      <c r="O300" s="6"/>
      <c r="P300" s="6"/>
      <c r="Q300" s="6"/>
      <c r="R300" s="12"/>
      <c r="S300" s="12"/>
      <c r="T300" s="12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</row>
    <row r="301" spans="8:51" s="4" customFormat="1" ht="12.75">
      <c r="H301" s="7"/>
      <c r="I301" s="7"/>
      <c r="J301" s="7"/>
      <c r="K301" s="7"/>
      <c r="L301" s="7"/>
      <c r="M301" s="13"/>
      <c r="N301" s="7"/>
      <c r="O301" s="7"/>
      <c r="P301" s="6"/>
      <c r="Q301" s="6"/>
      <c r="R301" s="12"/>
      <c r="S301" s="12"/>
      <c r="T301" s="12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</row>
  </sheetData>
  <sheetProtection/>
  <mergeCells count="3">
    <mergeCell ref="G7:H7"/>
    <mergeCell ref="E9:F9"/>
    <mergeCell ref="G9:H9"/>
  </mergeCells>
  <conditionalFormatting sqref="E47:E50 G15 E26:E31 E36:E41">
    <cfRule type="expression" priority="1" dxfId="5" stopIfTrue="1">
      <formula>$C$6=40</formula>
    </cfRule>
    <cfRule type="expression" priority="2" dxfId="3" stopIfTrue="1">
      <formula>$C$6=35</formula>
    </cfRule>
  </conditionalFormatting>
  <conditionalFormatting sqref="M47:M50 M26:M31 M36:M41">
    <cfRule type="cellIs" priority="3" dxfId="3" operator="greaterThan" stopIfTrue="1">
      <formula>0.85</formula>
    </cfRule>
  </conditionalFormatting>
  <conditionalFormatting sqref="K47:K50 K26:K31 K36:K41">
    <cfRule type="cellIs" priority="4" dxfId="1" operator="greaterThan" stopIfTrue="1">
      <formula>$C$4</formula>
    </cfRule>
  </conditionalFormatting>
  <conditionalFormatting sqref="K19:K20">
    <cfRule type="cellIs" priority="5" dxfId="1" operator="greaterThan" stopIfTrue="1">
      <formula>300</formula>
    </cfRule>
  </conditionalFormatting>
  <conditionalFormatting sqref="E10 G10">
    <cfRule type="cellIs" priority="6" dxfId="0" operator="greaterThan" stopIfTrue="1">
      <formula>1100</formula>
    </cfRule>
  </conditionalFormatting>
  <printOptions gridLines="1"/>
  <pageMargins left="0.75" right="0.75" top="1" bottom="1" header="0.4921259845" footer="0.4921259845"/>
  <pageSetup fitToHeight="3" fitToWidth="1" horizontalDpi="300" verticalDpi="300" orientation="landscape" paperSize="9" scale="69" r:id="rId4"/>
  <headerFooter alignWithMargins="0">
    <oddHeader>&amp;R&amp;D</oddHeader>
    <oddFooter>&amp;L&amp;6&amp;F&amp;R]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tabColor indexed="50"/>
  </sheetPr>
  <dimension ref="A1:J24"/>
  <sheetViews>
    <sheetView zoomScalePageLayoutView="0" workbookViewId="0" topLeftCell="A1">
      <selection activeCell="D25" sqref="D25"/>
    </sheetView>
  </sheetViews>
  <sheetFormatPr defaultColWidth="11.421875" defaultRowHeight="12.75"/>
  <cols>
    <col min="1" max="1" width="20.140625" style="0" customWidth="1"/>
    <col min="2" max="2" width="16.140625" style="0" bestFit="1" customWidth="1"/>
    <col min="3" max="3" width="16.57421875" style="0" bestFit="1" customWidth="1"/>
    <col min="4" max="4" width="17.57421875" style="0" bestFit="1" customWidth="1"/>
    <col min="5" max="5" width="14.28125" style="0" bestFit="1" customWidth="1"/>
    <col min="7" max="7" width="16.57421875" style="0" hidden="1" customWidth="1"/>
    <col min="8" max="9" width="17.57421875" style="0" hidden="1" customWidth="1"/>
    <col min="10" max="10" width="11.421875" style="0" hidden="1" customWidth="1"/>
    <col min="11" max="11" width="0" style="0" hidden="1" customWidth="1"/>
  </cols>
  <sheetData>
    <row r="1" spans="1:10" ht="12.75">
      <c r="A1">
        <v>1</v>
      </c>
      <c r="B1">
        <v>55</v>
      </c>
      <c r="C1" s="20">
        <f>30.062*Re!$C$6^1.5763</f>
        <v>3379.336605036503</v>
      </c>
      <c r="D1" s="20">
        <f>30.673*EXP(0.0132*Re!$C$6)</f>
        <v>39.940178165137326</v>
      </c>
      <c r="E1" s="21">
        <f>0.0000004*$C$1^2</f>
        <v>4.567966356055855</v>
      </c>
      <c r="H1" t="s">
        <v>119</v>
      </c>
      <c r="I1" t="s">
        <v>124</v>
      </c>
      <c r="J1" t="s">
        <v>61</v>
      </c>
    </row>
    <row r="2" spans="1:9" ht="12.75">
      <c r="A2">
        <v>1</v>
      </c>
      <c r="B2">
        <v>60</v>
      </c>
      <c r="C2" s="20">
        <f>29.42*Re!$C$6^1.38</f>
        <v>1836.8092695311163</v>
      </c>
      <c r="D2" s="20">
        <f>23.724*EXP(0.017*Re!$C$6)</f>
        <v>33.3309766385307</v>
      </c>
      <c r="E2" s="21">
        <f>0.0000004*$C$2^2</f>
        <v>1.3495473170541732</v>
      </c>
      <c r="H2" t="s">
        <v>120</v>
      </c>
      <c r="I2" t="s">
        <v>125</v>
      </c>
    </row>
    <row r="3" spans="1:9" ht="12.75">
      <c r="A3">
        <v>1</v>
      </c>
      <c r="B3">
        <v>65</v>
      </c>
      <c r="C3" s="20">
        <f>34.67*Re!$C$6^1.2241</f>
        <v>1356.890054776931</v>
      </c>
      <c r="D3" s="20">
        <f>20.783*EXP(0.0169*Re!$C$6)</f>
        <v>29.140686082272776</v>
      </c>
      <c r="E3" s="21">
        <f>0.0000004*$C$3^2</f>
        <v>0.7364602483010172</v>
      </c>
      <c r="H3" t="s">
        <v>123</v>
      </c>
      <c r="I3" t="s">
        <v>126</v>
      </c>
    </row>
    <row r="4" spans="1:9" ht="12.75">
      <c r="A4">
        <v>1</v>
      </c>
      <c r="B4">
        <v>70</v>
      </c>
      <c r="C4" s="20">
        <f>31.959*Re!$C$6^1.1832</f>
        <v>1106.552115026095</v>
      </c>
      <c r="D4" s="20">
        <f>17.928*EXP(0.0187*Re!$C$6)</f>
        <v>26.05901403339045</v>
      </c>
      <c r="E4" s="21">
        <f>0.0000004*$C$4^2</f>
        <v>0.4897830333074896</v>
      </c>
      <c r="H4" t="s">
        <v>121</v>
      </c>
      <c r="I4" s="21" t="s">
        <v>127</v>
      </c>
    </row>
    <row r="5" spans="1:9" ht="12.75">
      <c r="A5">
        <v>1</v>
      </c>
      <c r="B5">
        <v>75</v>
      </c>
      <c r="C5" s="20">
        <f>29.889*Re!$C$6^1.1547</f>
        <v>950.1905809523957</v>
      </c>
      <c r="D5" s="20">
        <f>16.186*EXP(0.0189*Re!$C$6)</f>
        <v>23.621248593387644</v>
      </c>
      <c r="E5" s="21">
        <f>0.0000004*$C$5^2</f>
        <v>0.3611448560522605</v>
      </c>
      <c r="G5" s="21"/>
      <c r="H5" t="s">
        <v>122</v>
      </c>
      <c r="I5" t="s">
        <v>128</v>
      </c>
    </row>
    <row r="6" spans="3:7" ht="12.75">
      <c r="C6" s="20"/>
      <c r="D6" s="20"/>
      <c r="E6" s="21"/>
      <c r="G6" s="21"/>
    </row>
    <row r="7" spans="1:10" ht="12.75">
      <c r="A7">
        <v>2</v>
      </c>
      <c r="B7">
        <v>55</v>
      </c>
      <c r="C7" s="20">
        <f>37.459*Re!$C$6^1.3835</f>
        <v>2363.367060992372</v>
      </c>
      <c r="D7" s="20">
        <f>26.562*EXP(0.012*Re!$C$6)</f>
        <v>33.766919930837155</v>
      </c>
      <c r="E7" s="21">
        <f>0.0000003*$C$7^2</f>
        <v>1.6756511594951167</v>
      </c>
      <c r="G7" s="20"/>
      <c r="H7" s="20" t="s">
        <v>110</v>
      </c>
      <c r="I7" s="21" t="s">
        <v>114</v>
      </c>
      <c r="J7" t="s">
        <v>68</v>
      </c>
    </row>
    <row r="8" spans="1:9" ht="12.75">
      <c r="A8">
        <v>2</v>
      </c>
      <c r="B8">
        <v>60</v>
      </c>
      <c r="C8" s="20">
        <f>38.3*Re!$C$6^1.222</f>
        <v>1489.5580355006311</v>
      </c>
      <c r="D8" s="20">
        <f>21.509*EXP(0.0129*Re!$C$6)</f>
        <v>27.83993364978873</v>
      </c>
      <c r="E8" s="21">
        <f>0.0000003*$C$8^2</f>
        <v>0.6656349423373498</v>
      </c>
      <c r="G8" s="20"/>
      <c r="H8" s="20" t="s">
        <v>111</v>
      </c>
      <c r="I8" s="21" t="s">
        <v>115</v>
      </c>
    </row>
    <row r="9" spans="1:9" ht="12.75">
      <c r="A9">
        <v>2</v>
      </c>
      <c r="B9">
        <v>65</v>
      </c>
      <c r="C9" s="20">
        <f>36.166*Re!$C$6^1.1679</f>
        <v>1196.1163031826513</v>
      </c>
      <c r="D9" s="20">
        <f>18.267*EXP(0.0138*Re!$C$6)</f>
        <v>24.07312693218675</v>
      </c>
      <c r="E9" s="21">
        <f>0.0000003*$C$9^2</f>
        <v>0.42920826322179967</v>
      </c>
      <c r="G9" s="21"/>
      <c r="H9" t="s">
        <v>112</v>
      </c>
      <c r="I9" t="s">
        <v>116</v>
      </c>
    </row>
    <row r="10" spans="1:9" ht="12.75">
      <c r="A10">
        <v>2</v>
      </c>
      <c r="B10">
        <v>70</v>
      </c>
      <c r="C10" s="20">
        <f>33.309*Re!$C$6^1.1214</f>
        <v>958.3775496878417</v>
      </c>
      <c r="D10" s="20">
        <f>16.339*EXP(0.014*Re!$C$6)</f>
        <v>21.61861800378138</v>
      </c>
      <c r="E10" s="21">
        <f>0.0000003*$C$10^2</f>
        <v>0.27554625832370144</v>
      </c>
      <c r="G10" s="20"/>
      <c r="H10" s="20" t="s">
        <v>113</v>
      </c>
      <c r="I10" s="21" t="s">
        <v>117</v>
      </c>
    </row>
    <row r="11" spans="1:9" ht="12.75">
      <c r="A11">
        <v>2</v>
      </c>
      <c r="B11">
        <v>75</v>
      </c>
      <c r="C11" s="15">
        <f>34.782*Re!$C$6^1.0805</f>
        <v>885.3550342104837</v>
      </c>
      <c r="D11" s="20">
        <f>14.723*EXP(0.0145*Re!$C$6)</f>
        <v>19.676221906199025</v>
      </c>
      <c r="E11" s="21">
        <f>0.0000003*$C$11^2</f>
        <v>0.23515606098055403</v>
      </c>
      <c r="G11" s="20"/>
      <c r="H11" t="s">
        <v>134</v>
      </c>
      <c r="I11" s="21" t="s">
        <v>118</v>
      </c>
    </row>
    <row r="12" spans="3:9" ht="12.75">
      <c r="C12" s="20"/>
      <c r="D12" s="20"/>
      <c r="E12" s="21"/>
      <c r="G12" s="20"/>
      <c r="H12" s="20"/>
      <c r="I12" s="21"/>
    </row>
    <row r="13" spans="1:10" ht="12.75">
      <c r="A13">
        <v>3</v>
      </c>
      <c r="B13">
        <v>55</v>
      </c>
      <c r="C13" s="20">
        <f>43.072*Re!$C$6^1.29</f>
        <v>2053.6372471997015</v>
      </c>
      <c r="D13" s="20">
        <f>23.61*EXP(0.0109*Re!$C$6)</f>
        <v>29.36109066648605</v>
      </c>
      <c r="E13" s="21">
        <f>0.0000002*$C$13^2</f>
        <v>0.8434851886171935</v>
      </c>
      <c r="G13" s="21"/>
      <c r="H13" s="20" t="s">
        <v>105</v>
      </c>
      <c r="I13" s="21" t="s">
        <v>100</v>
      </c>
      <c r="J13" t="s">
        <v>93</v>
      </c>
    </row>
    <row r="14" spans="1:9" ht="12.75">
      <c r="A14">
        <v>3</v>
      </c>
      <c r="B14">
        <v>60</v>
      </c>
      <c r="C14" s="20">
        <f>40.881*Re!$C$6^1.1669</f>
        <v>1348.0109268968245</v>
      </c>
      <c r="D14" s="20">
        <f>18.45*EXP(0.0125*Re!$C$6)</f>
        <v>23.690268937888828</v>
      </c>
      <c r="E14" s="21">
        <f>0.0000002*$C$14^2</f>
        <v>0.36342669180664716</v>
      </c>
      <c r="G14" s="20"/>
      <c r="H14" s="20" t="s">
        <v>106</v>
      </c>
      <c r="I14" s="20" t="s">
        <v>101</v>
      </c>
    </row>
    <row r="15" spans="1:9" ht="12.75">
      <c r="A15">
        <v>3</v>
      </c>
      <c r="B15">
        <v>65</v>
      </c>
      <c r="C15" s="20">
        <f>37.458*Re!$C$6^1.1248</f>
        <v>1088.7874954911777</v>
      </c>
      <c r="D15" s="20">
        <f>15.681*EXP(0.0132*Re!$C$6)</f>
        <v>20.41867224619432</v>
      </c>
      <c r="E15" s="21">
        <f>0.0000002*$C$15^2</f>
        <v>0.2370916420675902</v>
      </c>
      <c r="G15" s="20"/>
      <c r="H15" t="s">
        <v>107</v>
      </c>
      <c r="I15" s="20" t="s">
        <v>102</v>
      </c>
    </row>
    <row r="16" spans="1:9" ht="12.75">
      <c r="A16">
        <v>3</v>
      </c>
      <c r="B16">
        <v>70</v>
      </c>
      <c r="C16" s="20">
        <f>36.014*Re!$C$6^1.0717</f>
        <v>892.8637818461043</v>
      </c>
      <c r="D16" s="20">
        <f>13.963*EXP(0.0132*Re!$C$6)</f>
        <v>18.181616004949383</v>
      </c>
      <c r="E16" s="21">
        <f>0.0000002*$C$16^2</f>
        <v>0.15944114658650554</v>
      </c>
      <c r="G16" s="20"/>
      <c r="H16" s="20" t="s">
        <v>108</v>
      </c>
      <c r="I16" s="20" t="s">
        <v>103</v>
      </c>
    </row>
    <row r="17" spans="1:9" ht="12.75">
      <c r="A17">
        <v>3</v>
      </c>
      <c r="B17">
        <v>75</v>
      </c>
      <c r="C17" s="20">
        <f>33.229*Re!$C$6^1.0717</f>
        <v>823.8176988661131</v>
      </c>
      <c r="D17" s="20">
        <f>12.708*EXP(0.0129*Re!$C$6)</f>
        <v>16.448457707076813</v>
      </c>
      <c r="E17" s="21">
        <f>0.0000002*$C$17^2</f>
        <v>0.13573512019301157</v>
      </c>
      <c r="G17" s="20"/>
      <c r="H17" s="20" t="s">
        <v>109</v>
      </c>
      <c r="I17" s="20" t="s">
        <v>104</v>
      </c>
    </row>
    <row r="18" spans="3:7" ht="12.75">
      <c r="C18" s="20"/>
      <c r="D18" s="20"/>
      <c r="E18" s="21"/>
      <c r="G18" s="21"/>
    </row>
    <row r="19" spans="3:7" ht="12.75">
      <c r="C19" s="20"/>
      <c r="D19" s="20"/>
      <c r="E19" s="21"/>
      <c r="G19" s="21"/>
    </row>
    <row r="24" ht="12.75">
      <c r="C24" s="20"/>
    </row>
  </sheetData>
  <sheetProtection password="CA95" sheet="1" objects="1" scenarios="1" selectLockedCells="1" selectUnlockedCells="1"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>
    <tabColor indexed="17"/>
  </sheetPr>
  <dimension ref="A1:J20"/>
  <sheetViews>
    <sheetView zoomScalePageLayoutView="0" workbookViewId="0" topLeftCell="A4">
      <selection activeCell="F15" sqref="F14:F15"/>
    </sheetView>
  </sheetViews>
  <sheetFormatPr defaultColWidth="11.421875" defaultRowHeight="12.75"/>
  <cols>
    <col min="3" max="3" width="16.57421875" style="0" customWidth="1"/>
    <col min="4" max="4" width="8.8515625" style="20" customWidth="1"/>
    <col min="7" max="7" width="16.57421875" style="0" hidden="1" customWidth="1"/>
    <col min="8" max="8" width="17.57421875" style="0" hidden="1" customWidth="1"/>
    <col min="9" max="9" width="0" style="0" hidden="1" customWidth="1"/>
  </cols>
  <sheetData>
    <row r="1" spans="1:9" ht="12.75">
      <c r="A1">
        <v>1</v>
      </c>
      <c r="B1">
        <v>50</v>
      </c>
      <c r="C1" s="15">
        <f>28.361*Re!$C$6^1.5655</f>
        <v>3086.6259144468013</v>
      </c>
      <c r="D1" s="20">
        <f>27.078*EXP(0.0136*Re!$C$6)</f>
        <v>35.54223082150219</v>
      </c>
      <c r="E1" s="21">
        <f>0.0000004*$C$1^2</f>
        <v>3.810903814293821</v>
      </c>
      <c r="G1" t="s">
        <v>55</v>
      </c>
      <c r="H1" t="s">
        <v>62</v>
      </c>
      <c r="I1" t="s">
        <v>61</v>
      </c>
    </row>
    <row r="2" spans="1:8" ht="12.75">
      <c r="A2">
        <v>1</v>
      </c>
      <c r="B2">
        <v>55</v>
      </c>
      <c r="C2" s="15">
        <f>33.285*Re!$C$6^1.3184</f>
        <v>1727.9314432058031</v>
      </c>
      <c r="D2" s="20">
        <f>22.095*EXP(0.0152*Re!$C$6)</f>
        <v>29.944669794301294</v>
      </c>
      <c r="E2" s="21">
        <f>0.0000004*$C$2^2</f>
        <v>1.1942988289677157</v>
      </c>
      <c r="G2" t="s">
        <v>56</v>
      </c>
      <c r="H2" t="s">
        <v>63</v>
      </c>
    </row>
    <row r="3" spans="1:8" ht="12.75">
      <c r="A3">
        <v>1</v>
      </c>
      <c r="B3">
        <v>60</v>
      </c>
      <c r="C3" s="15">
        <f>34.211*Re!$C$6^1.2031</f>
        <v>1257.2885391276768</v>
      </c>
      <c r="D3" s="20">
        <f>18.967*EXP(0.0161*Re!$C$6)</f>
        <v>26.172274545581093</v>
      </c>
      <c r="E3" s="21">
        <f>0.0000004*$C$3^2</f>
        <v>0.6323097882487231</v>
      </c>
      <c r="G3" t="s">
        <v>57</v>
      </c>
      <c r="H3" t="s">
        <v>64</v>
      </c>
    </row>
    <row r="4" spans="1:8" ht="12.75">
      <c r="A4">
        <v>1</v>
      </c>
      <c r="B4">
        <v>65</v>
      </c>
      <c r="C4" s="15">
        <f>31.538*Re!$C$6^1.161</f>
        <v>1021.7154808974973</v>
      </c>
      <c r="D4" s="20">
        <f>16.512*EXP(0.0175*Re!$C$6)</f>
        <v>23.431643362371865</v>
      </c>
      <c r="E4" s="21">
        <f>0.0000004*$C$4^2</f>
        <v>0.4175610095622416</v>
      </c>
      <c r="G4" t="s">
        <v>60</v>
      </c>
      <c r="H4" t="s">
        <v>65</v>
      </c>
    </row>
    <row r="5" spans="1:8" ht="12.75">
      <c r="A5">
        <v>1</v>
      </c>
      <c r="B5">
        <v>70</v>
      </c>
      <c r="C5" s="15">
        <f>30.697*Re!$C$6^1.1174</f>
        <v>872.7037685436121</v>
      </c>
      <c r="D5" s="20">
        <f>15.552*EXP(0.0167*Re!$C$6)</f>
        <v>21.719038968870706</v>
      </c>
      <c r="E5" s="21">
        <f>0.0000004*$C$5^2</f>
        <v>0.304644747052089</v>
      </c>
      <c r="G5" t="s">
        <v>58</v>
      </c>
      <c r="H5" t="s">
        <v>66</v>
      </c>
    </row>
    <row r="6" spans="1:8" ht="12.75">
      <c r="A6">
        <v>1</v>
      </c>
      <c r="B6">
        <v>75</v>
      </c>
      <c r="C6" s="15">
        <f>28.321*Re!$C$6^1.098</f>
        <v>759.6954393748085</v>
      </c>
      <c r="D6" s="20">
        <f>13.579*EXP(0.0183*Re!$C$6)</f>
        <v>19.580310240005677</v>
      </c>
      <c r="E6" s="21">
        <f>0.0000004*$C$6^2</f>
        <v>0.23085486424275334</v>
      </c>
      <c r="G6" t="s">
        <v>59</v>
      </c>
      <c r="H6" t="s">
        <v>67</v>
      </c>
    </row>
    <row r="8" spans="1:9" ht="12.75">
      <c r="A8">
        <v>2</v>
      </c>
      <c r="B8">
        <v>50</v>
      </c>
      <c r="C8" s="15">
        <f>34.851*Re!$C$6^1.3962</f>
        <v>2284.0905869713556</v>
      </c>
      <c r="D8" s="20">
        <f>24.223*EXP(0.0115*Re!$C$6)</f>
        <v>30.48706804052174</v>
      </c>
      <c r="E8" s="21">
        <f>0.0000003*$C$8^2</f>
        <v>1.5651209428473456</v>
      </c>
      <c r="G8" t="s">
        <v>69</v>
      </c>
      <c r="H8" t="s">
        <v>75</v>
      </c>
      <c r="I8" t="s">
        <v>68</v>
      </c>
    </row>
    <row r="9" spans="1:8" ht="12.75">
      <c r="A9">
        <v>2</v>
      </c>
      <c r="B9">
        <v>55</v>
      </c>
      <c r="C9" s="15">
        <f>36.172*Re!$C$6^1.2308</f>
        <v>1444.3759246022773</v>
      </c>
      <c r="D9" s="20">
        <f>19.938*EXP(0.012*Re!$C$6)</f>
        <v>25.346165559108165</v>
      </c>
      <c r="E9" s="21">
        <f>0.0000003*$C$9^2</f>
        <v>0.6258665434712051</v>
      </c>
      <c r="G9" t="s">
        <v>70</v>
      </c>
      <c r="H9" t="s">
        <v>76</v>
      </c>
    </row>
    <row r="10" spans="1:8" ht="12.75">
      <c r="A10">
        <v>2</v>
      </c>
      <c r="B10">
        <v>60</v>
      </c>
      <c r="C10" s="15">
        <f>34.242*Re!$C$6^1.1657</f>
        <v>1125.0447279933703</v>
      </c>
      <c r="D10" s="20">
        <f>16.809*EXP(0.0132*Re!$C$6)</f>
        <v>21.88747285162173</v>
      </c>
      <c r="E10" s="21">
        <f>0.0000003*$C$10^2</f>
        <v>0.379717691995703</v>
      </c>
      <c r="G10" t="s">
        <v>71</v>
      </c>
      <c r="H10" t="s">
        <v>77</v>
      </c>
    </row>
    <row r="11" spans="1:8" ht="12.75">
      <c r="A11">
        <v>2</v>
      </c>
      <c r="B11">
        <v>65</v>
      </c>
      <c r="C11" s="15">
        <f>32.332*Re!$C$6^1.1248</f>
        <v>939.7906269480686</v>
      </c>
      <c r="D11" s="20">
        <f>15.013*EXP(0.0134*Re!$C$6)</f>
        <v>19.627202613044236</v>
      </c>
      <c r="E11" s="21">
        <f>0.0000003*$C$11^2</f>
        <v>0.26496192674983315</v>
      </c>
      <c r="G11" t="s">
        <v>72</v>
      </c>
      <c r="H11" t="s">
        <v>78</v>
      </c>
    </row>
    <row r="12" spans="1:8" ht="12.75">
      <c r="A12">
        <v>2</v>
      </c>
      <c r="B12">
        <v>70</v>
      </c>
      <c r="C12" s="15">
        <f>30.721*Re!$C$6^1.0936</f>
        <v>813.2831071365223</v>
      </c>
      <c r="D12" s="20">
        <f>13.636*EXP(0.0135*Re!$C$6)</f>
        <v>17.86267525019856</v>
      </c>
      <c r="E12" s="21">
        <f>0.0000003*$C$12^2</f>
        <v>0.1984288237060908</v>
      </c>
      <c r="G12" t="s">
        <v>73</v>
      </c>
      <c r="H12" t="s">
        <v>79</v>
      </c>
    </row>
    <row r="13" spans="1:10" ht="12.75">
      <c r="A13">
        <v>2</v>
      </c>
      <c r="B13">
        <v>75</v>
      </c>
      <c r="C13" s="15">
        <f>29.932*Re!$C$6^1.0622</f>
        <v>721.2565961245613</v>
      </c>
      <c r="D13" s="20">
        <f>12.645*EXP(0.0133*Re!$C$6)</f>
        <v>16.498374817096202</v>
      </c>
      <c r="E13" s="21">
        <f>0.0000003*$C$13^2</f>
        <v>0.15606332323595654</v>
      </c>
      <c r="G13" t="s">
        <v>74</v>
      </c>
      <c r="H13" t="s">
        <v>80</v>
      </c>
      <c r="J13" s="20"/>
    </row>
    <row r="14" ht="12.75">
      <c r="C14" s="15"/>
    </row>
    <row r="15" spans="1:9" ht="12.75">
      <c r="A15">
        <v>3</v>
      </c>
      <c r="B15">
        <v>50</v>
      </c>
      <c r="C15" s="15">
        <f>45.826*Re!$C$6^1.2299</f>
        <v>1824.940638943345</v>
      </c>
      <c r="D15" s="20">
        <f>21.561*EXP(0.0109*Re!$C$6)</f>
        <v>26.812980764934593</v>
      </c>
      <c r="E15" s="21">
        <f>0.0000002*$C$15^2</f>
        <v>0.6660816671333888</v>
      </c>
      <c r="G15" t="s">
        <v>81</v>
      </c>
      <c r="H15" t="s">
        <v>87</v>
      </c>
      <c r="I15" t="s">
        <v>93</v>
      </c>
    </row>
    <row r="16" spans="1:8" ht="12.75">
      <c r="A16">
        <v>3</v>
      </c>
      <c r="B16">
        <v>55</v>
      </c>
      <c r="C16" s="15">
        <f>39.61*Re!$C$6^1.159</f>
        <v>1275.5532903565736</v>
      </c>
      <c r="D16" s="20">
        <f>16.768*EXP(0.0127*Re!$C$6)</f>
        <v>21.616832813962542</v>
      </c>
      <c r="E16" s="21">
        <f>0.0000002*$C$16^2</f>
        <v>0.3254072393078963</v>
      </c>
      <c r="G16" t="s">
        <v>82</v>
      </c>
      <c r="H16" t="s">
        <v>88</v>
      </c>
    </row>
    <row r="17" spans="1:8" ht="12.75">
      <c r="A17">
        <v>3</v>
      </c>
      <c r="B17">
        <v>60</v>
      </c>
      <c r="C17" s="15">
        <f>36.456*Re!$C$6^1.114</f>
        <v>1025.9269318771842</v>
      </c>
      <c r="D17" s="20">
        <f>14.261*EXP(0.0133*Re!$C$6)</f>
        <v>18.60682667193428</v>
      </c>
      <c r="E17" s="21">
        <f>0.0000002*$C$17^2</f>
        <v>0.2105052139101865</v>
      </c>
      <c r="G17" t="s">
        <v>83</v>
      </c>
      <c r="H17" t="s">
        <v>89</v>
      </c>
    </row>
    <row r="18" spans="1:8" ht="12.75">
      <c r="A18">
        <v>3</v>
      </c>
      <c r="B18">
        <v>65</v>
      </c>
      <c r="C18" s="15">
        <f>34.299*Re!$C$6^1.0874</f>
        <v>891.2950108319775</v>
      </c>
      <c r="D18" s="20">
        <f>13.294*EXP(0.011*Re!$C$6)</f>
        <v>16.56534405642864</v>
      </c>
      <c r="E18" s="21">
        <f>0.0000002*$C$18^2</f>
        <v>0.15888135926679497</v>
      </c>
      <c r="G18" t="s">
        <v>84</v>
      </c>
      <c r="H18" t="s">
        <v>90</v>
      </c>
    </row>
    <row r="19" spans="1:8" ht="12.75">
      <c r="A19">
        <v>3</v>
      </c>
      <c r="B19">
        <v>70</v>
      </c>
      <c r="C19" s="15">
        <f>31.309*Re!$C$6^1.0688</f>
        <v>769.5025369272531</v>
      </c>
      <c r="D19" s="20">
        <f>12.168*EXP(0.0107*Re!$C$6)</f>
        <v>15.071560463526726</v>
      </c>
      <c r="E19" s="21">
        <f>0.0000002*$C$19^2</f>
        <v>0.11842683086749571</v>
      </c>
      <c r="G19" t="s">
        <v>85</v>
      </c>
      <c r="H19" t="s">
        <v>91</v>
      </c>
    </row>
    <row r="20" spans="1:8" ht="12.75">
      <c r="A20">
        <v>3</v>
      </c>
      <c r="B20">
        <v>75</v>
      </c>
      <c r="C20" s="15">
        <f>29.815*Re!$C$6^1.0502</f>
        <v>693.0690657919862</v>
      </c>
      <c r="D20" s="20">
        <f>11.537*EXP(0.0101*Re!$C$6)</f>
        <v>14.119534469580739</v>
      </c>
      <c r="E20" s="21">
        <f>0.0000002*$C$20^2</f>
        <v>0.0960689459915553</v>
      </c>
      <c r="G20" t="s">
        <v>86</v>
      </c>
      <c r="H20" t="s">
        <v>92</v>
      </c>
    </row>
  </sheetData>
  <sheetProtection password="CA95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>
    <tabColor indexed="17"/>
  </sheetPr>
  <dimension ref="A1:B100"/>
  <sheetViews>
    <sheetView zoomScalePageLayoutView="0" workbookViewId="0" topLeftCell="A45">
      <selection activeCell="E53" sqref="E53"/>
    </sheetView>
  </sheetViews>
  <sheetFormatPr defaultColWidth="7.57421875" defaultRowHeight="12.75"/>
  <cols>
    <col min="1" max="16384" width="7.57421875" style="19" customWidth="1"/>
  </cols>
  <sheetData>
    <row r="1" spans="1:2" ht="12.75">
      <c r="A1" s="19">
        <v>1</v>
      </c>
      <c r="B1" s="19">
        <v>1</v>
      </c>
    </row>
    <row r="2" spans="1:2" ht="12.75">
      <c r="A2" s="19">
        <v>2</v>
      </c>
      <c r="B2" s="19">
        <v>2</v>
      </c>
    </row>
    <row r="3" spans="1:2" ht="12.75">
      <c r="A3" s="19">
        <v>3</v>
      </c>
      <c r="B3" s="19">
        <v>2</v>
      </c>
    </row>
    <row r="4" spans="1:2" ht="12.75">
      <c r="A4" s="19">
        <v>4</v>
      </c>
      <c r="B4" s="19">
        <v>2</v>
      </c>
    </row>
    <row r="5" spans="1:2" ht="12.75">
      <c r="A5" s="19">
        <v>5</v>
      </c>
      <c r="B5" s="19">
        <v>3</v>
      </c>
    </row>
    <row r="6" spans="1:2" ht="12.75">
      <c r="A6" s="19">
        <v>6</v>
      </c>
      <c r="B6" s="19">
        <v>3</v>
      </c>
    </row>
    <row r="7" spans="1:2" ht="12.75">
      <c r="A7" s="19">
        <v>7</v>
      </c>
      <c r="B7" s="19">
        <v>3</v>
      </c>
    </row>
    <row r="8" spans="1:2" ht="12.75">
      <c r="A8" s="19">
        <v>8</v>
      </c>
      <c r="B8" s="19">
        <v>3</v>
      </c>
    </row>
    <row r="9" spans="1:2" ht="12.75">
      <c r="A9" s="19">
        <v>9</v>
      </c>
      <c r="B9" s="19">
        <v>3</v>
      </c>
    </row>
    <row r="10" spans="1:2" ht="12.75">
      <c r="A10" s="19">
        <v>10</v>
      </c>
      <c r="B10" s="19">
        <v>3</v>
      </c>
    </row>
    <row r="11" spans="1:2" ht="12.75">
      <c r="A11" s="19">
        <v>11</v>
      </c>
      <c r="B11" s="19">
        <v>3</v>
      </c>
    </row>
    <row r="12" spans="1:2" ht="12.75">
      <c r="A12" s="19">
        <v>12</v>
      </c>
      <c r="B12" s="19">
        <v>3</v>
      </c>
    </row>
    <row r="13" spans="1:2" ht="12.75">
      <c r="A13" s="19">
        <v>13</v>
      </c>
      <c r="B13" s="19">
        <v>3</v>
      </c>
    </row>
    <row r="14" spans="1:2" ht="12.75">
      <c r="A14" s="19">
        <v>14</v>
      </c>
      <c r="B14" s="19">
        <v>3</v>
      </c>
    </row>
    <row r="15" spans="1:2" ht="12.75">
      <c r="A15" s="19">
        <v>15</v>
      </c>
      <c r="B15" s="19">
        <v>4</v>
      </c>
    </row>
    <row r="16" spans="1:2" ht="12.75">
      <c r="A16" s="19">
        <v>16</v>
      </c>
      <c r="B16" s="19">
        <v>4</v>
      </c>
    </row>
    <row r="17" spans="1:2" ht="12.75">
      <c r="A17" s="19">
        <v>17</v>
      </c>
      <c r="B17" s="19">
        <v>4</v>
      </c>
    </row>
    <row r="18" spans="1:2" ht="12.75">
      <c r="A18" s="19">
        <v>18</v>
      </c>
      <c r="B18" s="19">
        <v>4</v>
      </c>
    </row>
    <row r="19" spans="1:2" ht="12.75">
      <c r="A19" s="19">
        <v>19</v>
      </c>
      <c r="B19" s="19">
        <v>4</v>
      </c>
    </row>
    <row r="20" spans="1:2" ht="12.75">
      <c r="A20" s="19">
        <v>20</v>
      </c>
      <c r="B20" s="19">
        <v>4</v>
      </c>
    </row>
    <row r="21" spans="1:2" ht="12.75">
      <c r="A21" s="19">
        <v>21</v>
      </c>
      <c r="B21" s="19">
        <v>4</v>
      </c>
    </row>
    <row r="22" spans="1:2" ht="12.75">
      <c r="A22" s="19">
        <v>22</v>
      </c>
      <c r="B22" s="19">
        <v>4</v>
      </c>
    </row>
    <row r="23" spans="1:2" ht="12.75">
      <c r="A23" s="19">
        <v>23</v>
      </c>
      <c r="B23" s="19">
        <v>4</v>
      </c>
    </row>
    <row r="24" spans="1:2" ht="12.75">
      <c r="A24" s="19">
        <v>24</v>
      </c>
      <c r="B24" s="19">
        <v>4</v>
      </c>
    </row>
    <row r="25" spans="1:2" ht="12.75">
      <c r="A25" s="19">
        <v>25</v>
      </c>
      <c r="B25" s="19">
        <v>4</v>
      </c>
    </row>
    <row r="26" spans="1:2" ht="12.75">
      <c r="A26" s="19">
        <v>26</v>
      </c>
      <c r="B26" s="19">
        <v>4</v>
      </c>
    </row>
    <row r="27" spans="1:2" ht="12.75">
      <c r="A27" s="19">
        <v>27</v>
      </c>
      <c r="B27" s="19">
        <v>4</v>
      </c>
    </row>
    <row r="28" spans="1:2" ht="12.75">
      <c r="A28" s="19">
        <v>28</v>
      </c>
      <c r="B28" s="19">
        <v>4</v>
      </c>
    </row>
    <row r="29" spans="1:2" ht="12.75">
      <c r="A29" s="19">
        <v>29</v>
      </c>
      <c r="B29" s="19">
        <v>4</v>
      </c>
    </row>
    <row r="30" spans="1:2" ht="12.75">
      <c r="A30" s="19">
        <v>30</v>
      </c>
      <c r="B30" s="19">
        <v>4</v>
      </c>
    </row>
    <row r="31" spans="1:2" ht="12.75">
      <c r="A31" s="19">
        <v>31</v>
      </c>
      <c r="B31" s="19">
        <v>4</v>
      </c>
    </row>
    <row r="32" spans="1:2" ht="12.75">
      <c r="A32" s="19">
        <v>32</v>
      </c>
      <c r="B32" s="19">
        <v>5</v>
      </c>
    </row>
    <row r="33" spans="1:2" ht="12.75">
      <c r="A33" s="19">
        <v>33</v>
      </c>
      <c r="B33" s="19">
        <v>5</v>
      </c>
    </row>
    <row r="34" spans="1:2" ht="12.75">
      <c r="A34" s="19">
        <v>34</v>
      </c>
      <c r="B34" s="19">
        <v>5</v>
      </c>
    </row>
    <row r="35" spans="1:2" ht="12.75">
      <c r="A35" s="19">
        <v>35</v>
      </c>
      <c r="B35" s="19">
        <v>5</v>
      </c>
    </row>
    <row r="36" spans="1:2" ht="12.75">
      <c r="A36" s="19">
        <v>36</v>
      </c>
      <c r="B36" s="19">
        <v>5</v>
      </c>
    </row>
    <row r="37" spans="1:2" ht="12.75">
      <c r="A37" s="19">
        <v>37</v>
      </c>
      <c r="B37" s="19">
        <v>5</v>
      </c>
    </row>
    <row r="38" spans="1:2" ht="12.75">
      <c r="A38" s="19">
        <v>38</v>
      </c>
      <c r="B38" s="19">
        <v>5</v>
      </c>
    </row>
    <row r="39" spans="1:2" ht="12.75">
      <c r="A39" s="19">
        <v>39</v>
      </c>
      <c r="B39" s="19">
        <v>5</v>
      </c>
    </row>
    <row r="40" spans="1:2" ht="12.75">
      <c r="A40" s="19">
        <v>40</v>
      </c>
      <c r="B40" s="19">
        <v>5</v>
      </c>
    </row>
    <row r="41" spans="1:2" ht="12.75">
      <c r="A41" s="19">
        <v>41</v>
      </c>
      <c r="B41" s="19">
        <v>5</v>
      </c>
    </row>
    <row r="42" spans="1:2" ht="12.75">
      <c r="A42" s="19">
        <v>42</v>
      </c>
      <c r="B42" s="19">
        <v>5</v>
      </c>
    </row>
    <row r="43" spans="1:2" ht="12.75">
      <c r="A43" s="19">
        <v>43</v>
      </c>
      <c r="B43" s="19">
        <v>5</v>
      </c>
    </row>
    <row r="44" spans="1:2" ht="12.75">
      <c r="A44" s="19">
        <v>44</v>
      </c>
      <c r="B44" s="19">
        <v>5</v>
      </c>
    </row>
    <row r="45" spans="1:2" ht="12.75">
      <c r="A45" s="19">
        <v>45</v>
      </c>
      <c r="B45" s="19">
        <v>5</v>
      </c>
    </row>
    <row r="46" spans="1:2" ht="12.75">
      <c r="A46" s="19">
        <v>46</v>
      </c>
      <c r="B46" s="19">
        <v>5</v>
      </c>
    </row>
    <row r="47" spans="1:2" ht="12.75">
      <c r="A47" s="19">
        <v>47</v>
      </c>
      <c r="B47" s="19">
        <v>5</v>
      </c>
    </row>
    <row r="48" spans="1:2" ht="12.75">
      <c r="A48" s="19">
        <v>48</v>
      </c>
      <c r="B48" s="19">
        <v>5</v>
      </c>
    </row>
    <row r="49" spans="1:2" ht="12.75">
      <c r="A49" s="19">
        <v>49</v>
      </c>
      <c r="B49" s="19">
        <v>5</v>
      </c>
    </row>
    <row r="50" spans="1:2" ht="12.75">
      <c r="A50" s="19">
        <v>50</v>
      </c>
      <c r="B50" s="19">
        <v>5</v>
      </c>
    </row>
    <row r="51" spans="1:2" ht="12.75">
      <c r="A51" s="19">
        <v>51</v>
      </c>
      <c r="B51" s="19">
        <v>5</v>
      </c>
    </row>
    <row r="52" spans="1:2" ht="12.75">
      <c r="A52" s="19">
        <v>52</v>
      </c>
      <c r="B52" s="19">
        <v>5</v>
      </c>
    </row>
    <row r="53" spans="1:2" ht="12.75">
      <c r="A53" s="19">
        <v>53</v>
      </c>
      <c r="B53" s="19">
        <v>5</v>
      </c>
    </row>
    <row r="54" spans="1:2" ht="12.75">
      <c r="A54" s="19">
        <v>54</v>
      </c>
      <c r="B54" s="19">
        <v>5</v>
      </c>
    </row>
    <row r="55" spans="1:2" ht="12.75">
      <c r="A55" s="19">
        <v>55</v>
      </c>
      <c r="B55" s="19">
        <v>5</v>
      </c>
    </row>
    <row r="56" spans="1:2" ht="12.75">
      <c r="A56" s="19">
        <v>56</v>
      </c>
      <c r="B56" s="19">
        <v>5</v>
      </c>
    </row>
    <row r="57" spans="1:2" ht="12.75">
      <c r="A57" s="19">
        <v>57</v>
      </c>
      <c r="B57" s="19">
        <v>5</v>
      </c>
    </row>
    <row r="58" spans="1:2" ht="12.75">
      <c r="A58" s="19">
        <v>58</v>
      </c>
      <c r="B58" s="19">
        <v>6</v>
      </c>
    </row>
    <row r="59" spans="1:2" ht="12.75">
      <c r="A59" s="19">
        <v>59</v>
      </c>
      <c r="B59" s="19">
        <v>6</v>
      </c>
    </row>
    <row r="60" spans="1:2" ht="12.75">
      <c r="A60" s="19">
        <v>60</v>
      </c>
      <c r="B60" s="19">
        <v>6</v>
      </c>
    </row>
    <row r="61" spans="1:2" ht="12.75">
      <c r="A61" s="19">
        <v>61</v>
      </c>
      <c r="B61" s="19">
        <v>8</v>
      </c>
    </row>
    <row r="62" spans="1:2" ht="12.75">
      <c r="A62" s="19">
        <v>62</v>
      </c>
      <c r="B62" s="19">
        <v>8</v>
      </c>
    </row>
    <row r="63" spans="1:2" ht="12.75">
      <c r="A63" s="19">
        <v>63</v>
      </c>
      <c r="B63" s="19">
        <v>8</v>
      </c>
    </row>
    <row r="64" spans="1:2" ht="12.75">
      <c r="A64" s="19">
        <v>64</v>
      </c>
      <c r="B64" s="19">
        <v>10</v>
      </c>
    </row>
    <row r="65" spans="1:2" ht="12.75">
      <c r="A65" s="19">
        <v>65</v>
      </c>
      <c r="B65" s="19">
        <v>10</v>
      </c>
    </row>
    <row r="66" spans="1:2" ht="12.75">
      <c r="A66" s="19">
        <v>66</v>
      </c>
      <c r="B66" s="19">
        <v>10</v>
      </c>
    </row>
    <row r="67" spans="1:2" ht="12.75">
      <c r="A67" s="19">
        <v>67</v>
      </c>
      <c r="B67" s="19">
        <v>10</v>
      </c>
    </row>
    <row r="68" spans="1:2" ht="12.75">
      <c r="A68" s="19">
        <v>68</v>
      </c>
      <c r="B68" s="19">
        <v>10</v>
      </c>
    </row>
    <row r="69" spans="1:2" ht="12.75">
      <c r="A69" s="19">
        <v>69</v>
      </c>
      <c r="B69" s="19">
        <v>10</v>
      </c>
    </row>
    <row r="70" spans="1:2" ht="12.75">
      <c r="A70" s="19">
        <v>70</v>
      </c>
      <c r="B70" s="19">
        <v>10</v>
      </c>
    </row>
    <row r="71" spans="1:2" ht="12.75">
      <c r="A71" s="19">
        <v>71</v>
      </c>
      <c r="B71" s="19">
        <v>10</v>
      </c>
    </row>
    <row r="72" spans="1:2" ht="12.75">
      <c r="A72" s="19">
        <v>72</v>
      </c>
      <c r="B72" s="19">
        <v>10</v>
      </c>
    </row>
    <row r="73" spans="1:2" ht="12.75">
      <c r="A73" s="19">
        <v>73</v>
      </c>
      <c r="B73" s="19">
        <v>10</v>
      </c>
    </row>
    <row r="74" spans="1:2" ht="12.75">
      <c r="A74" s="19">
        <v>74</v>
      </c>
      <c r="B74" s="19">
        <v>10</v>
      </c>
    </row>
    <row r="75" spans="1:2" ht="12.75">
      <c r="A75" s="19">
        <v>75</v>
      </c>
      <c r="B75" s="19">
        <v>10</v>
      </c>
    </row>
    <row r="76" spans="1:2" ht="12.75">
      <c r="A76" s="19">
        <v>76</v>
      </c>
      <c r="B76" s="19">
        <v>10</v>
      </c>
    </row>
    <row r="77" spans="1:2" ht="12.75">
      <c r="A77" s="19">
        <v>77</v>
      </c>
      <c r="B77" s="19">
        <v>10</v>
      </c>
    </row>
    <row r="78" spans="1:2" ht="12.75">
      <c r="A78" s="19">
        <v>78</v>
      </c>
      <c r="B78" s="19">
        <v>10</v>
      </c>
    </row>
    <row r="79" spans="1:2" ht="12.75">
      <c r="A79" s="19">
        <v>79</v>
      </c>
      <c r="B79" s="19">
        <v>10</v>
      </c>
    </row>
    <row r="80" spans="1:2" ht="12.75">
      <c r="A80" s="19">
        <v>80</v>
      </c>
      <c r="B80" s="19">
        <v>10</v>
      </c>
    </row>
    <row r="81" spans="1:2" ht="12.75">
      <c r="A81" s="19">
        <v>81</v>
      </c>
      <c r="B81" s="19">
        <v>10</v>
      </c>
    </row>
    <row r="82" spans="1:2" ht="12.75">
      <c r="A82" s="19">
        <v>82</v>
      </c>
      <c r="B82" s="19">
        <v>10</v>
      </c>
    </row>
    <row r="83" spans="1:2" ht="12.75">
      <c r="A83" s="19">
        <v>83</v>
      </c>
      <c r="B83" s="19">
        <v>10</v>
      </c>
    </row>
    <row r="84" spans="1:2" ht="12.75">
      <c r="A84" s="19">
        <v>84</v>
      </c>
      <c r="B84" s="19">
        <v>10</v>
      </c>
    </row>
    <row r="85" spans="1:2" ht="12.75">
      <c r="A85" s="19">
        <v>85</v>
      </c>
      <c r="B85" s="19">
        <v>10</v>
      </c>
    </row>
    <row r="86" spans="1:2" ht="12.75">
      <c r="A86" s="19">
        <v>86</v>
      </c>
      <c r="B86" s="19">
        <v>11</v>
      </c>
    </row>
    <row r="87" spans="1:2" ht="12.75">
      <c r="A87" s="19">
        <v>87</v>
      </c>
      <c r="B87" s="19">
        <v>11</v>
      </c>
    </row>
    <row r="88" spans="1:2" ht="12.75">
      <c r="A88" s="19">
        <v>88</v>
      </c>
      <c r="B88" s="19">
        <v>11</v>
      </c>
    </row>
    <row r="89" spans="1:2" ht="12.75">
      <c r="A89" s="19">
        <v>89</v>
      </c>
      <c r="B89" s="19">
        <v>11</v>
      </c>
    </row>
    <row r="90" spans="1:2" ht="12.75">
      <c r="A90" s="19">
        <v>90</v>
      </c>
      <c r="B90" s="19">
        <v>11</v>
      </c>
    </row>
    <row r="91" spans="1:2" ht="12.75">
      <c r="A91" s="19">
        <v>91</v>
      </c>
      <c r="B91" s="19">
        <v>11</v>
      </c>
    </row>
    <row r="92" spans="1:2" ht="12.75">
      <c r="A92" s="19">
        <v>92</v>
      </c>
      <c r="B92" s="19">
        <v>11</v>
      </c>
    </row>
    <row r="93" spans="1:2" ht="12.75">
      <c r="A93" s="19">
        <v>93</v>
      </c>
      <c r="B93" s="19">
        <v>11</v>
      </c>
    </row>
    <row r="94" spans="1:2" ht="12.75">
      <c r="A94" s="19">
        <v>94</v>
      </c>
      <c r="B94" s="19">
        <v>11</v>
      </c>
    </row>
    <row r="95" spans="1:2" ht="12.75">
      <c r="A95" s="19">
        <v>95</v>
      </c>
      <c r="B95" s="19">
        <v>11</v>
      </c>
    </row>
    <row r="96" spans="1:2" ht="12.75">
      <c r="A96" s="19">
        <v>96</v>
      </c>
      <c r="B96" s="19">
        <v>11</v>
      </c>
    </row>
    <row r="97" spans="1:2" ht="12.75">
      <c r="A97" s="19">
        <v>97</v>
      </c>
      <c r="B97" s="19">
        <v>11</v>
      </c>
    </row>
    <row r="98" spans="1:2" ht="12.75">
      <c r="A98" s="19">
        <v>98</v>
      </c>
      <c r="B98" s="19">
        <v>11</v>
      </c>
    </row>
    <row r="99" spans="1:2" ht="12.75">
      <c r="A99" s="19">
        <v>99</v>
      </c>
      <c r="B99" s="19">
        <v>11</v>
      </c>
    </row>
    <row r="100" spans="1:2" ht="12.75">
      <c r="A100" s="19">
        <v>100</v>
      </c>
      <c r="B100" s="19">
        <v>11</v>
      </c>
    </row>
  </sheetData>
  <sheetProtection password="CA95" sheet="1" objects="1" scenarios="1" selectLockedCells="1" selectUnlockedCell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DeltaSystemtechnik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DeltaSystemtechnik</dc:creator>
  <cp:keywords/>
  <dc:description/>
  <cp:lastModifiedBy>František  Baláži</cp:lastModifiedBy>
  <cp:lastPrinted>2007-03-16T12:44:28Z</cp:lastPrinted>
  <dcterms:created xsi:type="dcterms:W3CDTF">1997-12-01T18:18:00Z</dcterms:created>
  <dcterms:modified xsi:type="dcterms:W3CDTF">2009-10-01T07:55:45Z</dcterms:modified>
  <cp:category/>
  <cp:version/>
  <cp:contentType/>
  <cp:contentStatus/>
</cp:coreProperties>
</file>